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Elvidami\Desktop\nominas octubre\"/>
    </mc:Choice>
  </mc:AlternateContent>
  <bookViews>
    <workbookView xWindow="0" yWindow="0" windowWidth="3795" windowHeight="2670"/>
  </bookViews>
  <sheets>
    <sheet name="Plantilla Ejecución 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0" i="3" l="1"/>
  <c r="P77" i="3"/>
  <c r="P63" i="3"/>
  <c r="P64" i="3"/>
  <c r="P65" i="3"/>
  <c r="P67" i="3"/>
  <c r="P68" i="3"/>
  <c r="P70" i="3"/>
  <c r="P71" i="3"/>
  <c r="P72" i="3"/>
  <c r="P58" i="3"/>
  <c r="P56" i="3"/>
  <c r="P57" i="3"/>
  <c r="P59" i="3"/>
  <c r="P54" i="3"/>
  <c r="P47" i="3"/>
  <c r="P35" i="3"/>
  <c r="P43" i="3"/>
  <c r="K79" i="3"/>
  <c r="L79" i="3"/>
  <c r="M79" i="3"/>
  <c r="M17" i="3"/>
  <c r="M15" i="3"/>
  <c r="M11" i="3"/>
  <c r="M10" i="3"/>
  <c r="M9" i="3"/>
  <c r="M55" i="3"/>
  <c r="M51" i="3"/>
  <c r="M27" i="3"/>
  <c r="M33" i="3"/>
  <c r="M31" i="3"/>
  <c r="M30" i="3"/>
  <c r="M29" i="3"/>
  <c r="M25" i="3"/>
  <c r="M22" i="3"/>
  <c r="M21" i="3"/>
  <c r="M19" i="3"/>
  <c r="M18" i="3"/>
  <c r="M26" i="3"/>
  <c r="M23" i="3"/>
  <c r="M16" i="3"/>
  <c r="E18" i="3"/>
  <c r="L76" i="3"/>
  <c r="L10" i="3"/>
  <c r="J10" i="3"/>
  <c r="K9" i="3"/>
  <c r="M8" i="3" l="1"/>
  <c r="L33" i="3"/>
  <c r="L31" i="3"/>
  <c r="L30" i="3"/>
  <c r="L26" i="3"/>
  <c r="L25" i="3"/>
  <c r="L21" i="3"/>
  <c r="L18" i="3"/>
  <c r="L17" i="3"/>
  <c r="L15" i="3"/>
  <c r="L13" i="3"/>
  <c r="L11" i="3"/>
  <c r="L9" i="3"/>
  <c r="L8" i="3" s="1"/>
  <c r="L55" i="3"/>
  <c r="L51" i="3"/>
  <c r="L29" i="3"/>
  <c r="L27" i="3"/>
  <c r="L22" i="3"/>
  <c r="L19" i="3"/>
  <c r="L16" i="3"/>
  <c r="L23" i="3"/>
  <c r="P62" i="3" l="1"/>
  <c r="P61" i="3" s="1"/>
  <c r="P52" i="3"/>
  <c r="P53" i="3"/>
  <c r="P44" i="3"/>
  <c r="P45" i="3"/>
  <c r="P46" i="3"/>
  <c r="P48" i="3"/>
  <c r="P49" i="3"/>
  <c r="P36" i="3"/>
  <c r="P37" i="3"/>
  <c r="P38" i="3"/>
  <c r="P39" i="3"/>
  <c r="P40" i="3"/>
  <c r="P41" i="3"/>
  <c r="P32" i="3"/>
  <c r="K33" i="3" l="1"/>
  <c r="K31" i="3"/>
  <c r="K21" i="3"/>
  <c r="K18" i="3"/>
  <c r="K17" i="3"/>
  <c r="K15" i="3"/>
  <c r="K11" i="3"/>
  <c r="K10" i="3"/>
  <c r="K51" i="3"/>
  <c r="K30" i="3"/>
  <c r="K29" i="3"/>
  <c r="K27" i="3"/>
  <c r="K25" i="3"/>
  <c r="K22" i="3"/>
  <c r="K19" i="3"/>
  <c r="K16" i="3"/>
  <c r="K13" i="3"/>
  <c r="K28" i="3"/>
  <c r="P28" i="3" s="1"/>
  <c r="K26" i="3"/>
  <c r="K23" i="3"/>
  <c r="K20" i="3"/>
  <c r="J21" i="3"/>
  <c r="J22" i="3"/>
  <c r="J82" i="3" l="1"/>
  <c r="I42" i="3"/>
  <c r="J15" i="3"/>
  <c r="J9" i="3"/>
  <c r="J13" i="3"/>
  <c r="J11" i="3"/>
  <c r="J51" i="3"/>
  <c r="J33" i="3"/>
  <c r="J31" i="3"/>
  <c r="J30" i="3"/>
  <c r="J29" i="3"/>
  <c r="J27" i="3"/>
  <c r="J25" i="3"/>
  <c r="J19" i="3"/>
  <c r="J18" i="3"/>
  <c r="J17" i="3"/>
  <c r="J12" i="3"/>
  <c r="P12" i="3" s="1"/>
  <c r="P81" i="3"/>
  <c r="P78" i="3"/>
  <c r="P76" i="3" s="1"/>
  <c r="P83" i="3"/>
  <c r="P82" i="3" s="1"/>
  <c r="P79" i="3" l="1"/>
  <c r="P75" i="3" s="1"/>
  <c r="P84" i="3" s="1"/>
  <c r="P42" i="3"/>
  <c r="I15" i="3"/>
  <c r="I13" i="3"/>
  <c r="I11" i="3"/>
  <c r="I9" i="3"/>
  <c r="I10" i="3"/>
  <c r="I33" i="3"/>
  <c r="I31" i="3"/>
  <c r="I30" i="3"/>
  <c r="I29" i="3"/>
  <c r="I27" i="3"/>
  <c r="I25" i="3"/>
  <c r="I22" i="3"/>
  <c r="I19" i="3"/>
  <c r="I17" i="3"/>
  <c r="I16" i="3"/>
  <c r="G18" i="3" l="1"/>
  <c r="D9" i="3" l="1"/>
  <c r="I69" i="3" l="1"/>
  <c r="H69" i="3"/>
  <c r="G69" i="3"/>
  <c r="F69" i="3"/>
  <c r="E69" i="3"/>
  <c r="H33" i="3"/>
  <c r="H31" i="3"/>
  <c r="H30" i="3"/>
  <c r="H17" i="3"/>
  <c r="H15" i="3"/>
  <c r="H13" i="3"/>
  <c r="H10" i="3"/>
  <c r="H9" i="3"/>
  <c r="H51" i="3"/>
  <c r="H29" i="3"/>
  <c r="H27" i="3"/>
  <c r="H26" i="3"/>
  <c r="H25" i="3"/>
  <c r="H21" i="3"/>
  <c r="H19" i="3"/>
  <c r="H16" i="3"/>
  <c r="H18" i="3"/>
  <c r="H22" i="3"/>
  <c r="H34" i="3"/>
  <c r="H14" i="3" l="1"/>
  <c r="D23" i="3" l="1"/>
  <c r="D33" i="3"/>
  <c r="AH23" i="3" l="1"/>
  <c r="G34" i="3"/>
  <c r="G33" i="3"/>
  <c r="G25" i="3"/>
  <c r="G21" i="3"/>
  <c r="G15" i="3"/>
  <c r="G17" i="3"/>
  <c r="G13" i="3"/>
  <c r="G11" i="3"/>
  <c r="G10" i="3"/>
  <c r="G9" i="3"/>
  <c r="G55" i="3"/>
  <c r="P55" i="3" s="1"/>
  <c r="G31" i="3"/>
  <c r="G30" i="3"/>
  <c r="G29" i="3"/>
  <c r="G27" i="3"/>
  <c r="G26" i="3"/>
  <c r="G23" i="3"/>
  <c r="G16" i="3"/>
  <c r="G20" i="3"/>
  <c r="P20" i="3" s="1"/>
  <c r="G51" i="3"/>
  <c r="G22" i="3"/>
  <c r="G14" i="3" l="1"/>
  <c r="F31" i="3"/>
  <c r="F18" i="3"/>
  <c r="F16" i="3"/>
  <c r="F15" i="3"/>
  <c r="F13" i="3"/>
  <c r="F11" i="3"/>
  <c r="F10" i="3"/>
  <c r="F9" i="3"/>
  <c r="F51" i="3"/>
  <c r="F33" i="3"/>
  <c r="F30" i="3"/>
  <c r="F29" i="3"/>
  <c r="F26" i="3"/>
  <c r="F25" i="3"/>
  <c r="F21" i="3"/>
  <c r="F19" i="3"/>
  <c r="F17" i="3"/>
  <c r="F23" i="3"/>
  <c r="P23" i="3" s="1"/>
  <c r="F22" i="3"/>
  <c r="F50" i="3" l="1"/>
  <c r="E10" i="3" l="1"/>
  <c r="E33" i="3"/>
  <c r="P33" i="3" s="1"/>
  <c r="E31" i="3"/>
  <c r="E30" i="3"/>
  <c r="E26" i="3"/>
  <c r="P26" i="3" s="1"/>
  <c r="E25" i="3"/>
  <c r="E21" i="3"/>
  <c r="E17" i="3"/>
  <c r="P17" i="3" s="1"/>
  <c r="E15" i="3"/>
  <c r="E13" i="3"/>
  <c r="E9" i="3"/>
  <c r="P9" i="3" s="1"/>
  <c r="E16" i="3" l="1"/>
  <c r="P16" i="3" s="1"/>
  <c r="E19" i="3"/>
  <c r="P19" i="3" s="1"/>
  <c r="E51" i="3"/>
  <c r="E29" i="3"/>
  <c r="E27" i="3"/>
  <c r="E22" i="3"/>
  <c r="D66" i="3" l="1"/>
  <c r="P66" i="3" s="1"/>
  <c r="D69" i="3"/>
  <c r="P69" i="3" s="1"/>
  <c r="D13" i="3"/>
  <c r="P13" i="3" s="1"/>
  <c r="D11" i="3"/>
  <c r="P11" i="3" s="1"/>
  <c r="D10" i="3"/>
  <c r="D30" i="3"/>
  <c r="P30" i="3" s="1"/>
  <c r="D25" i="3"/>
  <c r="P25" i="3" s="1"/>
  <c r="D15" i="3"/>
  <c r="P15" i="3" s="1"/>
  <c r="D21" i="3"/>
  <c r="P21" i="3" s="1"/>
  <c r="D51" i="3"/>
  <c r="P51" i="3" s="1"/>
  <c r="P50" i="3" s="1"/>
  <c r="D31" i="3"/>
  <c r="P31" i="3" s="1"/>
  <c r="D29" i="3"/>
  <c r="P29" i="3" s="1"/>
  <c r="D27" i="3"/>
  <c r="P27" i="3" s="1"/>
  <c r="D22" i="3"/>
  <c r="P22" i="3" s="1"/>
  <c r="P24" i="3" l="1"/>
  <c r="P10" i="3"/>
  <c r="P8" i="3" s="1"/>
  <c r="D8" i="3"/>
  <c r="D18" i="3" l="1"/>
  <c r="P18" i="3" s="1"/>
  <c r="P14" i="3" s="1"/>
  <c r="D14" i="3" l="1"/>
  <c r="G76" i="3"/>
  <c r="D79" i="3"/>
  <c r="D61" i="3"/>
  <c r="K8" i="3"/>
  <c r="K61" i="3"/>
  <c r="K50" i="3"/>
  <c r="K34" i="3"/>
  <c r="K24" i="3"/>
  <c r="K14" i="3"/>
  <c r="K76" i="3"/>
  <c r="J8" i="3"/>
  <c r="J79" i="3"/>
  <c r="J84" i="3" s="1"/>
  <c r="J76" i="3"/>
  <c r="I14" i="3"/>
  <c r="H79" i="3"/>
  <c r="I79" i="3"/>
  <c r="G79" i="3"/>
  <c r="F79" i="3"/>
  <c r="I76" i="3"/>
  <c r="H50" i="3"/>
  <c r="H42" i="3"/>
  <c r="H76" i="3"/>
  <c r="O82" i="3"/>
  <c r="N82" i="3"/>
  <c r="M82" i="3"/>
  <c r="M84" i="3" s="1"/>
  <c r="L82" i="3"/>
  <c r="K82" i="3"/>
  <c r="K84" i="3" s="1"/>
  <c r="I82" i="3"/>
  <c r="H82" i="3"/>
  <c r="G82" i="3"/>
  <c r="F82" i="3"/>
  <c r="E82" i="3"/>
  <c r="G24" i="3"/>
  <c r="G50" i="3"/>
  <c r="G61" i="3"/>
  <c r="G42" i="3"/>
  <c r="F76" i="3"/>
  <c r="L84" i="3" l="1"/>
  <c r="L75" i="3"/>
  <c r="F84" i="3"/>
  <c r="K75" i="3"/>
  <c r="G84" i="3"/>
  <c r="I84" i="3"/>
  <c r="D75" i="3"/>
  <c r="D84" i="3"/>
  <c r="H84" i="3"/>
  <c r="I75" i="3"/>
  <c r="J75" i="3"/>
  <c r="I8" i="3"/>
  <c r="G75" i="3"/>
  <c r="G8" i="3"/>
  <c r="G73" i="3" l="1"/>
  <c r="G7" i="3"/>
  <c r="G86" i="3" l="1"/>
  <c r="F75" i="3"/>
  <c r="J14" i="3"/>
  <c r="L14" i="3"/>
  <c r="M14" i="3"/>
  <c r="N14" i="3"/>
  <c r="O14" i="3"/>
  <c r="H24" i="3"/>
  <c r="I24" i="3"/>
  <c r="J24" i="3"/>
  <c r="L24" i="3"/>
  <c r="M24" i="3"/>
  <c r="N24" i="3"/>
  <c r="O24" i="3"/>
  <c r="F34" i="3"/>
  <c r="I34" i="3"/>
  <c r="J34" i="3"/>
  <c r="L34" i="3"/>
  <c r="M34" i="3"/>
  <c r="N34" i="3"/>
  <c r="O34" i="3"/>
  <c r="F42" i="3"/>
  <c r="J42" i="3"/>
  <c r="K42" i="3"/>
  <c r="L42" i="3"/>
  <c r="M42" i="3"/>
  <c r="N42" i="3"/>
  <c r="O42" i="3"/>
  <c r="F61" i="3"/>
  <c r="H61" i="3"/>
  <c r="I61" i="3"/>
  <c r="J61" i="3"/>
  <c r="L61" i="3"/>
  <c r="M61" i="3"/>
  <c r="N61" i="3"/>
  <c r="O61" i="3"/>
  <c r="L50" i="3"/>
  <c r="M50" i="3"/>
  <c r="N50" i="3"/>
  <c r="O50" i="3"/>
  <c r="I50" i="3"/>
  <c r="J50" i="3"/>
  <c r="E61" i="3"/>
  <c r="E76" i="3"/>
  <c r="E75" i="3" s="1"/>
  <c r="L73" i="3" l="1"/>
  <c r="L86" i="3" s="1"/>
  <c r="L7" i="3"/>
  <c r="J7" i="3"/>
  <c r="K7" i="3"/>
  <c r="F24" i="3"/>
  <c r="F8" i="3"/>
  <c r="E42" i="3"/>
  <c r="E84" i="3"/>
  <c r="E50" i="3"/>
  <c r="E34" i="3"/>
  <c r="E24" i="3" l="1"/>
  <c r="E8" i="3"/>
  <c r="E14" i="3"/>
  <c r="O8" i="3"/>
  <c r="N8" i="3"/>
  <c r="M7" i="3"/>
  <c r="I73" i="3"/>
  <c r="I86" i="3" s="1"/>
  <c r="H8" i="3"/>
  <c r="H73" i="3" l="1"/>
  <c r="H86" i="3" s="1"/>
  <c r="E7" i="3"/>
  <c r="E73" i="3"/>
  <c r="E86" i="3" s="1"/>
  <c r="H7" i="3"/>
  <c r="I7" i="3"/>
  <c r="O7" i="3"/>
  <c r="O73" i="3"/>
  <c r="N7" i="3"/>
  <c r="N73" i="3"/>
  <c r="M73" i="3"/>
  <c r="M86" i="3" s="1"/>
  <c r="K73" i="3"/>
  <c r="K86" i="3" s="1"/>
  <c r="J73" i="3"/>
  <c r="J86" i="3" s="1"/>
  <c r="D42" i="3"/>
  <c r="D34" i="3"/>
  <c r="D24" i="3" l="1"/>
  <c r="D50" i="3"/>
  <c r="D73" i="3" l="1"/>
  <c r="D86" i="3" s="1"/>
  <c r="D7" i="3"/>
  <c r="F14" i="3" l="1"/>
  <c r="F7" i="3" s="1"/>
  <c r="F73" i="3" l="1"/>
  <c r="F86" i="3" s="1"/>
  <c r="H75" i="3"/>
  <c r="P34" i="3" l="1"/>
  <c r="P73" i="3" s="1"/>
  <c r="P86" i="3" s="1"/>
  <c r="P7" i="3" l="1"/>
</calcChain>
</file>

<file path=xl/sharedStrings.xml><?xml version="1.0" encoding="utf-8"?>
<sst xmlns="http://schemas.openxmlformats.org/spreadsheetml/2006/main" count="101" uniqueCount="101">
  <si>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</si>
  <si>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</si>
  <si>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</si>
  <si>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</si>
  <si>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</si>
  <si>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</si>
  <si>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</si>
  <si>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</si>
  <si>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</si>
  <si>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</si>
  <si>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</si>
  <si>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</si>
  <si>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</si>
  <si>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</si>
  <si>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</si>
  <si>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</si>
  <si>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</si>
  <si>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</si>
  <si>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</si>
  <si>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</si>
  <si>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</si>
  <si>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</si>
  <si>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</si>
  <si>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</si>
  <si>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</si>
  <si>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</si>
  <si>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</si>
  <si>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</si>
  <si>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</si>
  <si>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</si>
  <si>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</si>
  <si>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</si>
  <si>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</si>
  <si>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</si>
  <si>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</si>
  <si>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</si>
  <si>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</si>
  <si>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</si>
  <si>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</si>
  <si>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</si>
  <si>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</si>
  <si>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</si>
  <si>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</si>
  <si>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</si>
  <si>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</si>
  <si>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</si>
  <si>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</si>
  <si>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</si>
  <si>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</si>
  <si>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</si>
  <si>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</si>
  <si>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</si>
  <si>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</si>
  <si>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</si>
  <si>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</si>
  <si>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</si>
  <si>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</si>
  <si>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</si>
  <si>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</si>
  <si>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</si>
  <si>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</si>
  <si>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</si>
  <si>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</si>
  <si>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</si>
  <si>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</si>
  <si>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</si>
  <si>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</si>
  <si>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</si>
  <si>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</si>
  <si>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</si>
  <si>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</si>
  <si>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</si>
  <si>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</si>
  <si>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</si>
  <si>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</si>
  <si>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</si>
  <si>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</si>
  <si>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</si>
  <si>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</si>
  <si>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</si>
  <si>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</si>
  <si>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</si>
  <si>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</si>
  <si>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</si>
  <si>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</si>
  <si>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</si>
  <si>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</si>
  <si>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</si>
  <si>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Fecha de imputación: hasta el [día] de [mes] del [año]</t>
  </si>
  <si>
    <t>Fuente: [fuente]</t>
  </si>
  <si>
    <t xml:space="preserve">Ejecución de Gastos y Aplicaciones Financieras </t>
  </si>
  <si>
    <t>Fecha de registro: hasta el [31] de [01] del [2021]</t>
  </si>
  <si>
    <t>Marzo</t>
  </si>
  <si>
    <t>2.6.2 - MOBILIARIO Y EQUIPO AUDIOVISUAL, Y RECREATIVO EDUCACIONAL</t>
  </si>
  <si>
    <t xml:space="preserve">2.6.7 - ACTIVOS BIÓLOGICOS </t>
  </si>
  <si>
    <t>Presupuesto</t>
  </si>
  <si>
    <t xml:space="preserve">                                                                                                                                 Gasto Devengado</t>
  </si>
  <si>
    <r>
      <t xml:space="preserve">              </t>
    </r>
    <r>
      <rPr>
        <b/>
        <u/>
        <sz val="11"/>
        <color theme="1"/>
        <rFont val="Calibri"/>
        <family val="2"/>
        <scheme val="minor"/>
      </rPr>
      <t>Sr. Cecilio Del Villar Reyes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</t>
    </r>
    <r>
      <rPr>
        <b/>
        <u/>
        <sz val="11"/>
        <color theme="1"/>
        <rFont val="Calibri"/>
        <family val="2"/>
        <scheme val="minor"/>
      </rPr>
      <t>Hector J. Ricart Guerrero</t>
    </r>
  </si>
  <si>
    <t>Ejecutado</t>
  </si>
  <si>
    <t xml:space="preserve">                Director Financiero                                                                                                                                                           Director Administrativo</t>
  </si>
  <si>
    <t>Pres.Modif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</si>
</sst>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\ _€_-;\-* #,##0\ _€_-;_-* &quot;-&quot;\ _€_-;_-@_-"/>
    <numFmt numFmtId="165" formatCode="_-* #,##0.00\ _€_-;\-* #,##0.00\ _€_-;_-* &quot;-&quot;??\ _€_-;_-@_-"/>
    <numFmt numFmtId="166" formatCode="_(* #,##0_);_(* \(#,##0\);_(* &quot;-&quot;??_);_(@_)"/>
    <numFmt numFmtId="168" formatCode="#,##0;[Red]#,##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4506668294322"/>
      </bottom>
      <diagonal/>
    </border>
    <border>
      <left/>
      <right/>
      <top/>
      <bottom style="thin">
        <color theme="4" tint="0.59996337778862885"/>
      </bottom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 tint="0.39994506668294322"/>
      </top>
      <bottom/>
      <diagonal/>
    </border>
    <border>
      <left/>
      <right/>
      <top style="thin">
        <color theme="0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78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6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6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6" fontId="1" fillId="3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164" fontId="0" fillId="0" borderId="0" xfId="0" applyNumberFormat="1"/>
    <xf numFmtId="164" fontId="2" fillId="0" borderId="0" xfId="1" applyNumberFormat="1" applyFont="1"/>
    <xf numFmtId="164" fontId="1" fillId="0" borderId="0" xfId="1" applyNumberFormat="1" applyFont="1" applyAlignment="1">
      <alignment vertical="center" wrapText="1"/>
    </xf>
    <xf numFmtId="164" fontId="0" fillId="0" borderId="0" xfId="1" applyNumberFormat="1" applyFont="1"/>
    <xf numFmtId="164" fontId="0" fillId="0" borderId="0" xfId="1" applyNumberFormat="1" applyFont="1" applyAlignment="1">
      <alignment vertical="center" wrapText="1"/>
    </xf>
    <xf numFmtId="164" fontId="0" fillId="0" borderId="0" xfId="0" applyNumberFormat="1" applyAlignment="1">
      <alignment vertical="center" wrapText="1"/>
    </xf>
    <xf numFmtId="164" fontId="1" fillId="0" borderId="0" xfId="0" applyNumberFormat="1" applyFon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164" fontId="1" fillId="0" borderId="0" xfId="0" applyNumberFormat="1" applyFont="1"/>
    <xf numFmtId="164" fontId="1" fillId="0" borderId="0" xfId="1" applyNumberFormat="1" applyFont="1"/>
    <xf numFmtId="0" fontId="6" fillId="0" borderId="0" xfId="0" applyFont="1" applyAlignment="1">
      <alignment horizontal="left" vertical="center" wrapText="1" indent="2"/>
    </xf>
    <xf numFmtId="0" fontId="6" fillId="0" borderId="0" xfId="0" applyFont="1" applyAlignment="1">
      <alignment horizontal="left" wrapText="1" indent="2"/>
    </xf>
    <xf numFmtId="164" fontId="2" fillId="0" borderId="1" xfId="1" applyNumberFormat="1" applyFont="1" applyBorder="1" applyAlignment="1">
      <alignment horizontal="left" vertical="center" wrapText="1"/>
    </xf>
    <xf numFmtId="164" fontId="4" fillId="0" borderId="0" xfId="1" applyNumberFormat="1" applyFont="1" applyAlignment="1">
      <alignment vertical="center" wrapText="1"/>
    </xf>
    <xf numFmtId="0" fontId="1" fillId="0" borderId="0" xfId="0" applyFont="1"/>
    <xf numFmtId="3" fontId="0" fillId="0" borderId="0" xfId="0" applyNumberFormat="1"/>
    <xf numFmtId="164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/>
    </xf>
    <xf numFmtId="164" fontId="1" fillId="0" borderId="0" xfId="1" applyNumberFormat="1" applyFont="1" applyAlignment="1">
      <alignment horizontal="center" vertical="center" wrapText="1"/>
    </xf>
    <xf numFmtId="166" fontId="1" fillId="2" borderId="2" xfId="0" applyNumberFormat="1" applyFont="1" applyFill="1" applyBorder="1" applyAlignment="1">
      <alignment vertical="center" wrapText="1"/>
    </xf>
    <xf numFmtId="3" fontId="0" fillId="0" borderId="0" xfId="0" applyNumberFormat="1" applyAlignment="1">
      <alignment horizontal="right"/>
    </xf>
    <xf numFmtId="164" fontId="1" fillId="0" borderId="3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64" fontId="1" fillId="0" borderId="4" xfId="1" applyNumberFormat="1" applyFont="1" applyBorder="1" applyAlignment="1">
      <alignment vertical="center" wrapText="1"/>
    </xf>
    <xf numFmtId="0" fontId="0" fillId="0" borderId="0" xfId="0" applyAlignment="1"/>
    <xf numFmtId="164" fontId="0" fillId="0" borderId="0" xfId="0" applyNumberFormat="1" applyAlignment="1"/>
    <xf numFmtId="168" fontId="0" fillId="0" borderId="0" xfId="0" applyNumberFormat="1" applyAlignment="1"/>
    <xf numFmtId="0" fontId="7" fillId="0" borderId="0" xfId="0" applyFont="1" applyAlignment="1"/>
    <xf numFmtId="164" fontId="7" fillId="0" borderId="0" xfId="0" applyNumberFormat="1" applyFont="1" applyAlignment="1"/>
    <xf numFmtId="164" fontId="5" fillId="0" borderId="0" xfId="0" applyNumberFormat="1" applyFont="1"/>
    <xf numFmtId="164" fontId="1" fillId="0" borderId="6" xfId="1" applyNumberFormat="1" applyFont="1" applyBorder="1" applyAlignment="1">
      <alignment vertical="center" wrapText="1"/>
    </xf>
    <xf numFmtId="0" fontId="1" fillId="0" borderId="0" xfId="0" applyFont="1" applyAlignment="1"/>
    <xf numFmtId="166" fontId="0" fillId="0" borderId="0" xfId="0" applyNumberFormat="1" applyAlignment="1">
      <alignment vertical="center" wrapText="1"/>
    </xf>
    <xf numFmtId="166" fontId="0" fillId="0" borderId="0" xfId="1" applyNumberFormat="1" applyFont="1"/>
    <xf numFmtId="166" fontId="1" fillId="0" borderId="0" xfId="1" applyNumberFormat="1" applyFont="1"/>
    <xf numFmtId="166" fontId="1" fillId="0" borderId="3" xfId="0" applyNumberFormat="1" applyFont="1" applyBorder="1" applyAlignment="1">
      <alignment horizontal="center"/>
    </xf>
    <xf numFmtId="165" fontId="1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center"/>
    </xf>
    <xf numFmtId="166" fontId="0" fillId="0" borderId="0" xfId="0" applyNumberFormat="1"/>
    <xf numFmtId="166" fontId="1" fillId="3" borderId="2" xfId="0" applyNumberFormat="1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vertical="center" wrapText="1"/>
    </xf>
    <xf numFmtId="164" fontId="0" fillId="0" borderId="0" xfId="1" applyNumberFormat="1" applyFont="1" applyAlignment="1">
      <alignment horizontal="right" vertical="center" wrapText="1"/>
    </xf>
    <xf numFmtId="164" fontId="1" fillId="0" borderId="4" xfId="1" applyNumberFormat="1" applyFont="1" applyBorder="1" applyAlignment="1">
      <alignment horizontal="right" vertical="center" wrapText="1"/>
    </xf>
    <xf numFmtId="164" fontId="1" fillId="0" borderId="0" xfId="1" applyNumberFormat="1" applyFont="1" applyAlignment="1">
      <alignment horizontal="right" vertical="center" wrapText="1"/>
    </xf>
    <xf numFmtId="164" fontId="10" fillId="3" borderId="7" xfId="0" applyNumberFormat="1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left" vertical="center" wrapText="1"/>
    </xf>
    <xf numFmtId="164" fontId="1" fillId="0" borderId="0" xfId="1" applyNumberFormat="1" applyFont="1" applyBorder="1" applyAlignment="1">
      <alignment vertical="center" wrapText="1"/>
    </xf>
    <xf numFmtId="164" fontId="1" fillId="0" borderId="5" xfId="1" applyNumberFormat="1" applyFont="1" applyBorder="1" applyAlignment="1">
      <alignment vertical="center" wrapText="1"/>
    </xf>
    <xf numFmtId="164" fontId="0" fillId="0" borderId="0" xfId="0" applyNumberFormat="1" applyFont="1" applyAlignment="1">
      <alignment vertical="center" wrapText="1"/>
    </xf>
    <xf numFmtId="165" fontId="0" fillId="0" borderId="0" xfId="0" applyNumberFormat="1"/>
    <xf numFmtId="3" fontId="1" fillId="0" borderId="0" xfId="0" applyNumberFormat="1" applyFont="1"/>
    <xf numFmtId="3" fontId="1" fillId="0" borderId="0" xfId="1" applyNumberFormat="1" applyFont="1" applyAlignment="1">
      <alignment vertical="center" wrapText="1"/>
    </xf>
    <xf numFmtId="3" fontId="0" fillId="0" borderId="0" xfId="0" applyNumberFormat="1" applyAlignment="1">
      <alignment vertical="center" wrapText="1"/>
    </xf>
    <xf numFmtId="3" fontId="0" fillId="0" borderId="0" xfId="0" applyNumberFormat="1" applyFont="1" applyAlignment="1">
      <alignment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vertical="center" wrapText="1"/>
    </xf>
    <xf numFmtId="3" fontId="1" fillId="0" borderId="0" xfId="0" applyNumberFormat="1" applyFont="1" applyAlignment="1">
      <alignment vertical="center" wrapText="1"/>
    </xf>
    <xf numFmtId="164" fontId="8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10" fillId="3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249998</xdr:colOff>
      <xdr:row>0</xdr:row>
      <xdr:rowOff>0</xdr:rowOff>
    </xdr:from>
    <xdr:to>
      <xdr:col>14</xdr:col>
      <xdr:colOff>360405</xdr:colOff>
      <xdr:row>2</xdr:row>
      <xdr:rowOff>171622</xdr:rowOff>
    </xdr:to>
    <xdr:sp macro="" textlink="">
      <xdr:nvSpPr>
        <xdr:cNvPr id="2" name="Rectangle 1"/>
        <xdr:cNvSpPr/>
      </xdr:nvSpPr>
      <xdr:spPr>
        <a:xfrm>
          <a:off x="11679998" y="208572"/>
          <a:ext cx="899866" cy="683861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twoCellAnchor editAs="oneCell">
    <xdr:from>
      <xdr:col>0</xdr:col>
      <xdr:colOff>593911</xdr:colOff>
      <xdr:row>0</xdr:row>
      <xdr:rowOff>246530</xdr:rowOff>
    </xdr:from>
    <xdr:to>
      <xdr:col>1</xdr:col>
      <xdr:colOff>243679</xdr:colOff>
      <xdr:row>3</xdr:row>
      <xdr:rowOff>262381</xdr:rowOff>
    </xdr:to>
    <xdr:pic>
      <xdr:nvPicPr>
        <xdr:cNvPr id="4" name="Picture 1" descr="http://www.cea.gob.do/images/Logos/Logo-del-portal%20500x110px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93911" y="246530"/>
          <a:ext cx="4670003" cy="105799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369795</xdr:colOff>
      <xdr:row>88</xdr:row>
      <xdr:rowOff>145677</xdr:rowOff>
    </xdr:from>
    <xdr:to>
      <xdr:col>5</xdr:col>
      <xdr:colOff>710662</xdr:colOff>
      <xdr:row>98</xdr:row>
      <xdr:rowOff>145676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0030" y="17682883"/>
          <a:ext cx="4106044" cy="1904999"/>
        </a:xfrm>
        <a:prstGeom prst="rect">
          <a:avLst/>
        </a:prstGeom>
      </xdr:spPr>
    </xdr:pic>
    <xdr:clientData/>
  </xdr:twoCellAnchor>
  <xdr:twoCellAnchor editAs="oneCell">
    <xdr:from>
      <xdr:col>0</xdr:col>
      <xdr:colOff>22412</xdr:colOff>
      <xdr:row>89</xdr:row>
      <xdr:rowOff>168088</xdr:rowOff>
    </xdr:from>
    <xdr:to>
      <xdr:col>0</xdr:col>
      <xdr:colOff>3468908</xdr:colOff>
      <xdr:row>101</xdr:row>
      <xdr:rowOff>56030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2" y="17895794"/>
          <a:ext cx="3446496" cy="22075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AH101"/>
  <sheetViews>
    <sheetView showGridLines="0" tabSelected="1" zoomScale="85" zoomScaleNormal="85" workbookViewId="0">
      <selection activeCell="P103" sqref="A1:P103"/>
    </sheetView>
  </sheetViews>
  <sheetFormatPr baseColWidth="10" defaultColWidth="9.140625" defaultRowHeight="15" x14ac:dyDescent="0.25"/>
  <cols>
    <col min="1" max="1" width="75.28515625" customWidth="1"/>
    <col min="2" max="2" width="14.5703125" style="13" customWidth="1"/>
    <col min="3" max="3" width="16" style="13" customWidth="1"/>
    <col min="4" max="4" width="12.140625" style="13" customWidth="1"/>
    <col min="5" max="5" width="13.7109375" customWidth="1"/>
    <col min="6" max="6" width="14.5703125" style="29" customWidth="1"/>
    <col min="7" max="7" width="13.85546875" customWidth="1"/>
    <col min="8" max="8" width="14" style="13" customWidth="1"/>
    <col min="9" max="9" width="12.85546875" customWidth="1"/>
    <col min="10" max="10" width="13.28515625" customWidth="1"/>
    <col min="11" max="11" width="15.140625" customWidth="1"/>
    <col min="12" max="12" width="16.140625" customWidth="1"/>
    <col min="13" max="13" width="15.42578125" customWidth="1"/>
    <col min="14" max="14" width="0.140625" hidden="1" customWidth="1"/>
    <col min="15" max="15" width="0.7109375" hidden="1" customWidth="1"/>
    <col min="16" max="16" width="16.85546875" customWidth="1"/>
    <col min="17" max="17" width="0.7109375" customWidth="1"/>
    <col min="18" max="18" width="9.7109375" customWidth="1"/>
    <col min="19" max="19" width="15.28515625" customWidth="1"/>
    <col min="20" max="20" width="6.28515625" customWidth="1"/>
    <col min="21" max="21" width="7.85546875" customWidth="1"/>
    <col min="22" max="22" width="5.7109375" customWidth="1"/>
    <col min="23" max="23" width="10.42578125" customWidth="1"/>
    <col min="24" max="24" width="7" customWidth="1"/>
    <col min="25" max="25" width="5.85546875" customWidth="1"/>
    <col min="26" max="26" width="7" customWidth="1"/>
    <col min="27" max="27" width="14.85546875" customWidth="1"/>
    <col min="28" max="28" width="5.140625" customWidth="1"/>
    <col min="29" max="29" width="6.28515625" customWidth="1"/>
    <col min="30" max="30" width="5" customWidth="1"/>
    <col min="31" max="31" width="5.42578125" customWidth="1"/>
    <col min="32" max="32" width="2.85546875" customWidth="1"/>
    <col min="33" max="33" width="3.28515625" customWidth="1"/>
    <col min="34" max="34" width="7.5703125" customWidth="1"/>
    <col min="35" max="35" width="7" customWidth="1"/>
  </cols>
  <sheetData>
    <row r="1" spans="1:34" ht="45.75" customHeight="1" x14ac:dyDescent="0.25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9"/>
    </row>
    <row r="2" spans="1:34" ht="18.75" x14ac:dyDescent="0.25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9"/>
    </row>
    <row r="3" spans="1:34" ht="17.25" customHeight="1" x14ac:dyDescent="0.25">
      <c r="A3" s="77" t="s">
        <v>90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9"/>
    </row>
    <row r="4" spans="1:34" ht="39" customHeight="1" x14ac:dyDescent="0.25">
      <c r="A4" s="77" t="s">
        <v>35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9"/>
    </row>
    <row r="5" spans="1:34" ht="16.5" customHeight="1" x14ac:dyDescent="0.25">
      <c r="A5" s="75" t="s">
        <v>96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9"/>
      <c r="S5" s="13"/>
    </row>
    <row r="6" spans="1:34" ht="16.5" customHeight="1" x14ac:dyDescent="0.25">
      <c r="A6" s="55" t="s">
        <v>0</v>
      </c>
      <c r="B6" s="59" t="s">
        <v>95</v>
      </c>
      <c r="C6" s="59" t="s">
        <v>100</v>
      </c>
      <c r="D6" s="59" t="s">
        <v>77</v>
      </c>
      <c r="E6" s="59" t="s">
        <v>78</v>
      </c>
      <c r="F6" s="59" t="s">
        <v>92</v>
      </c>
      <c r="G6" s="59" t="s">
        <v>79</v>
      </c>
      <c r="H6" s="59" t="s">
        <v>80</v>
      </c>
      <c r="I6" s="60" t="s">
        <v>81</v>
      </c>
      <c r="J6" s="60" t="s">
        <v>82</v>
      </c>
      <c r="K6" s="61" t="s">
        <v>83</v>
      </c>
      <c r="L6" s="61" t="s">
        <v>84</v>
      </c>
      <c r="M6" s="61" t="s">
        <v>85</v>
      </c>
      <c r="N6" s="61" t="s">
        <v>86</v>
      </c>
      <c r="O6" s="61" t="s">
        <v>87</v>
      </c>
      <c r="P6" s="59" t="s">
        <v>98</v>
      </c>
      <c r="AA6" s="12"/>
      <c r="AB6" s="12"/>
    </row>
    <row r="7" spans="1:34" ht="15.75" x14ac:dyDescent="0.25">
      <c r="A7" s="1" t="s">
        <v>1</v>
      </c>
      <c r="B7" s="57">
        <v>1816138804</v>
      </c>
      <c r="C7" s="57"/>
      <c r="D7" s="38">
        <f>SUM(D8,D14,D24,D34,D42,D50,D61,D66,D69)</f>
        <v>96080343</v>
      </c>
      <c r="E7" s="38">
        <f>SUM(E8,E14,E24,E34,E42,E50,E61,E66,E69)</f>
        <v>113957739</v>
      </c>
      <c r="F7" s="38">
        <f>SUM(F8,F14,F24,F34,F42,F50,F61,F66,F69)</f>
        <v>150723839</v>
      </c>
      <c r="G7" s="38">
        <f>SUM(G8,G14,G24,G34,G42,G50,G61,G66,G69)</f>
        <v>135815501</v>
      </c>
      <c r="H7" s="38">
        <f t="shared" ref="H7:O7" si="0">SUM(H8,H14,H24,H34,H42,H50,H61,H66,H69)</f>
        <v>143864813</v>
      </c>
      <c r="I7" s="38">
        <f t="shared" si="0"/>
        <v>150043573</v>
      </c>
      <c r="J7" s="38">
        <f>SUM(J8,J14,J24,J34,J42,J50,J61,J66,J69)</f>
        <v>151235259</v>
      </c>
      <c r="K7" s="26">
        <f>SUM(K8,K14,K24,K34,K42,K50,K61,K66,K69)</f>
        <v>118037847</v>
      </c>
      <c r="L7" s="26">
        <f>SUM(L8,L14,L24,L34,L42,L50,L61,L66,L69)</f>
        <v>137634244</v>
      </c>
      <c r="M7" s="26">
        <f>SUM(M8,M14,M24,M34,M42,M50,M61,M66,M69)</f>
        <v>122023355</v>
      </c>
      <c r="N7" s="26">
        <f t="shared" si="0"/>
        <v>0</v>
      </c>
      <c r="O7" s="26">
        <f t="shared" si="0"/>
        <v>0</v>
      </c>
      <c r="P7" s="26">
        <f>SUM(P8,P14,P24,P34,P42,P50,P61)</f>
        <v>1319416513</v>
      </c>
      <c r="S7" s="10"/>
      <c r="T7" s="10"/>
      <c r="U7" s="10"/>
      <c r="V7" s="10"/>
      <c r="W7" s="10"/>
      <c r="X7" s="10"/>
      <c r="Y7" s="10"/>
      <c r="Z7" s="10"/>
      <c r="AA7" s="10"/>
      <c r="AB7" s="10"/>
    </row>
    <row r="8" spans="1:34" x14ac:dyDescent="0.25">
      <c r="A8" s="3" t="s">
        <v>2</v>
      </c>
      <c r="B8" s="58">
        <v>892044540</v>
      </c>
      <c r="C8" s="58"/>
      <c r="D8" s="15">
        <f>+D9+D10+D11+D12+D13</f>
        <v>69507867</v>
      </c>
      <c r="E8" s="15">
        <f>+E9+E10+E11+E12+E13</f>
        <v>71114357</v>
      </c>
      <c r="F8" s="15">
        <f>+F9+F10+F11+F12+F13</f>
        <v>85803326</v>
      </c>
      <c r="G8" s="15">
        <f>+G9+G10+G11+G12+G13</f>
        <v>61361855</v>
      </c>
      <c r="H8" s="15">
        <f t="shared" ref="H8:O8" si="1">+H9+H10+H11+H12+H13</f>
        <v>46070698</v>
      </c>
      <c r="I8" s="15">
        <f>+I9+I10+I11+I12+I13</f>
        <v>72692368</v>
      </c>
      <c r="J8" s="15">
        <f>+J9+J10+J11+J12+J13</f>
        <v>76283649</v>
      </c>
      <c r="K8" s="15">
        <f>+K9+K10+K11+K12+K13</f>
        <v>67712403</v>
      </c>
      <c r="L8" s="15">
        <f>+L9+L10+L11+L12+L13</f>
        <v>68058005</v>
      </c>
      <c r="M8" s="15">
        <f>+M9+M10+M11+M12+M13</f>
        <v>46251854</v>
      </c>
      <c r="N8" s="15">
        <f t="shared" si="1"/>
        <v>0</v>
      </c>
      <c r="O8" s="15">
        <f t="shared" si="1"/>
        <v>0</v>
      </c>
      <c r="P8" s="15">
        <f>+P9+P10+P11+P12+P13</f>
        <v>664856382</v>
      </c>
      <c r="S8" s="11"/>
      <c r="AG8" s="22"/>
    </row>
    <row r="9" spans="1:34" x14ac:dyDescent="0.25">
      <c r="A9" s="24" t="s">
        <v>3</v>
      </c>
      <c r="B9" s="56">
        <v>726849857</v>
      </c>
      <c r="C9" s="56"/>
      <c r="D9" s="17">
        <f>11767647+2589455+382365+477587+6129257+88115+818751+20311+346983+173815+5900875+8576397+1732+1178177+2506549+3016944+13512+1176785+1140433+5707+9168475</f>
        <v>55479872</v>
      </c>
      <c r="E9" s="27">
        <f>9974418+2244778+9442+6975757+3292541+2920596+12978861+27696+9458803+100203+3366485+3777+1587242+35718+1123148+542866</f>
        <v>54642331</v>
      </c>
      <c r="F9" s="27">
        <f>10958529+61234+7117124+67475+6668661+14332+2345684+22889+2908555+41512+8968612+89846+11583015+201988+1749531+88333+4018528+2008212+11411+1053768+56315+595453</f>
        <v>60631007</v>
      </c>
      <c r="G9" s="27">
        <f>11002433+1794862+37609+6891040+1274692+6512062+1952813+11973913+2414674+4058555+6709+943264+28058</f>
        <v>48890684</v>
      </c>
      <c r="H9" s="27">
        <f>10412701+6185697+30177+9817012+3682230+826762</f>
        <v>30954579</v>
      </c>
      <c r="I9" s="27">
        <f>10867701+15050+4456909+9226323+1710206+10385+236744+23834+3736749+1967005+9166578+14483+1597115+4141548+29522+415926+960912+20764+655061+22031</f>
        <v>49274846</v>
      </c>
      <c r="J9" s="27">
        <f>11366865+2204746+6360198+2150848+2649228+1495199+15945755+1244687+4070984+534770+915261+889433</f>
        <v>49827974</v>
      </c>
      <c r="K9" s="16">
        <f>13503769+83440+3417101+119723+7055716+25361+3955208+1900227+8706360+11048650+9955+4454387+949082+1721495+155007+737521+2578040</f>
        <v>60421042</v>
      </c>
      <c r="L9" s="16">
        <f>11818994+4109174+6470029+2823557+2801387+3547567+6448611+15107+3894152+2351235+1785461+906825+235449</f>
        <v>47207548</v>
      </c>
      <c r="M9" s="10">
        <f>12037566+7167+2116067+45879+6660516+986198+3164357+612485+7588814+133701+2629866+2209361+13267+826095-1+909848+295813</f>
        <v>40236999</v>
      </c>
      <c r="N9" s="10">
        <v>0</v>
      </c>
      <c r="O9" s="10">
        <v>0</v>
      </c>
      <c r="P9" s="16">
        <f>SUM(D9:M9)</f>
        <v>497566882</v>
      </c>
      <c r="R9" s="13"/>
      <c r="AG9" s="16"/>
      <c r="AH9" s="13"/>
    </row>
    <row r="10" spans="1:34" x14ac:dyDescent="0.25">
      <c r="A10" s="24" t="s">
        <v>4</v>
      </c>
      <c r="B10" s="56">
        <v>51040681</v>
      </c>
      <c r="C10" s="56"/>
      <c r="D10" s="17">
        <f>61332+46529+2727486+1132272+292013</f>
        <v>4259632</v>
      </c>
      <c r="E10" s="27">
        <f>48225+61346+3307132+3973093+1171531+629828</f>
        <v>9191155</v>
      </c>
      <c r="F10" s="27">
        <f>26546+37063+6455065+6493038+10281</f>
        <v>13021993</v>
      </c>
      <c r="G10" s="27">
        <f>47209+57523+17619+5809984+5413</f>
        <v>5937748</v>
      </c>
      <c r="H10" s="27">
        <f>81213+34616+3693+6620904+1679</f>
        <v>6742105</v>
      </c>
      <c r="I10" s="27">
        <f>27652+26576+7986708+5831553+2770</f>
        <v>13875259</v>
      </c>
      <c r="J10" s="27">
        <f>14326+13462+3977603+5824245+13701</f>
        <v>9843337</v>
      </c>
      <c r="K10" s="16">
        <f>49221+48176+4005203+1504066+7554</f>
        <v>5614220</v>
      </c>
      <c r="L10" s="16">
        <f>156798+78417+4030844+178524+15485</f>
        <v>4460068</v>
      </c>
      <c r="M10" s="10">
        <f>89533+59553+4039746+165757+3189-1+6937</f>
        <v>4364714</v>
      </c>
      <c r="N10" s="10">
        <v>0</v>
      </c>
      <c r="O10" s="10">
        <v>0</v>
      </c>
      <c r="P10" s="16">
        <f t="shared" ref="P10:P12" si="2">SUM(D10:M10)</f>
        <v>77310231</v>
      </c>
      <c r="R10" s="13"/>
      <c r="AG10" s="16"/>
      <c r="AH10" s="13"/>
    </row>
    <row r="11" spans="1:34" x14ac:dyDescent="0.25">
      <c r="A11" s="25" t="s">
        <v>36</v>
      </c>
      <c r="B11" s="56">
        <v>18171600</v>
      </c>
      <c r="C11" s="56"/>
      <c r="D11" s="17">
        <f>1001000+422500+60000+120000+57000</f>
        <v>1660500</v>
      </c>
      <c r="E11" s="27">
        <v>0</v>
      </c>
      <c r="F11" s="27">
        <f>939500+361500+70000+120000+20000+40000</f>
        <v>1551000</v>
      </c>
      <c r="G11" s="27">
        <f>1850000+687000+185000+280000+100000</f>
        <v>3102000</v>
      </c>
      <c r="H11" s="27">
        <v>0</v>
      </c>
      <c r="I11" s="27">
        <f>1912500+769500+155000+240000+40000+80000</f>
        <v>3197000</v>
      </c>
      <c r="J11" s="27">
        <f>959000+432000+120000+20000+40000</f>
        <v>1571000</v>
      </c>
      <c r="K11" s="16">
        <f>943500+443000+85000+120000+20000+40000</f>
        <v>1651500</v>
      </c>
      <c r="L11" s="16">
        <f>919500+475000+85000+120000+20000+40000</f>
        <v>1659500</v>
      </c>
      <c r="M11" s="10">
        <f>889500+475000+85000+140000+40000+1</f>
        <v>1629501</v>
      </c>
      <c r="N11" s="10">
        <v>0</v>
      </c>
      <c r="O11" s="10">
        <v>0</v>
      </c>
      <c r="P11" s="16">
        <f t="shared" si="2"/>
        <v>16022001</v>
      </c>
      <c r="R11" s="13"/>
      <c r="AG11" s="16"/>
      <c r="AH11" s="13"/>
    </row>
    <row r="12" spans="1:34" x14ac:dyDescent="0.25">
      <c r="A12" s="24" t="s">
        <v>5</v>
      </c>
      <c r="B12" s="56">
        <v>318000</v>
      </c>
      <c r="C12" s="56"/>
      <c r="D12" s="17">
        <v>0</v>
      </c>
      <c r="E12" s="27">
        <v>0</v>
      </c>
      <c r="F12" s="18">
        <v>0</v>
      </c>
      <c r="G12" s="27">
        <v>0</v>
      </c>
      <c r="H12" s="27">
        <v>0</v>
      </c>
      <c r="I12" s="27">
        <v>0</v>
      </c>
      <c r="J12" s="27">
        <f>50000+50000</f>
        <v>100000</v>
      </c>
      <c r="K12" s="10"/>
      <c r="L12" s="16"/>
      <c r="M12" s="10"/>
      <c r="P12" s="16">
        <f t="shared" si="2"/>
        <v>100000</v>
      </c>
      <c r="R12" s="13"/>
    </row>
    <row r="13" spans="1:34" ht="14.25" customHeight="1" x14ac:dyDescent="0.25">
      <c r="A13" s="24" t="s">
        <v>6</v>
      </c>
      <c r="B13" s="56">
        <v>95664402</v>
      </c>
      <c r="C13" s="56"/>
      <c r="D13" s="18">
        <f>3212106+1339387+621773+645530+662257+1072325+554485</f>
        <v>8107863</v>
      </c>
      <c r="E13" s="27">
        <f>2086295+1448913+1189899+1714228+586370+39101+216065</f>
        <v>7280871</v>
      </c>
      <c r="F13" s="27">
        <f>4258381+2519421+1107643+1665309+685725+362847</f>
        <v>10599326</v>
      </c>
      <c r="G13" s="27">
        <f>917766+321250+268674+1029243+820620+73870</f>
        <v>3431423</v>
      </c>
      <c r="H13" s="27">
        <f>2265428+1498928+567435+3093797+653633+294793</f>
        <v>8374014</v>
      </c>
      <c r="I13" s="27">
        <f>2475464+1265879+756616+1140865+444529+261910</f>
        <v>6345263</v>
      </c>
      <c r="J13" s="27">
        <f>5014218+3504919+1584814+2107775+2138188+591424</f>
        <v>14941338</v>
      </c>
      <c r="K13" s="16">
        <f>21310+4331</f>
        <v>25641</v>
      </c>
      <c r="L13" s="16">
        <f>5131307+3384037+1780292+1964265+1914417+556571</f>
        <v>14730889</v>
      </c>
      <c r="M13" s="16">
        <v>20640</v>
      </c>
      <c r="P13" s="16">
        <f>SUM(D13:M13)</f>
        <v>73857268</v>
      </c>
      <c r="R13" s="13"/>
      <c r="AG13" s="16"/>
      <c r="AH13" s="13"/>
    </row>
    <row r="14" spans="1:34" x14ac:dyDescent="0.25">
      <c r="A14" s="3" t="s">
        <v>7</v>
      </c>
      <c r="B14" s="58">
        <v>127807012</v>
      </c>
      <c r="C14" s="58"/>
      <c r="D14" s="15">
        <f>+D15+D16+D17+D18+D19+D21+D22+D23+D20</f>
        <v>6418329</v>
      </c>
      <c r="E14" s="15">
        <f>SUM(E15:E23)</f>
        <v>5620653</v>
      </c>
      <c r="F14" s="15">
        <f t="shared" ref="F14:O14" si="3">SUM(F15:F23)</f>
        <v>12037532</v>
      </c>
      <c r="G14" s="15">
        <f>+G15+G16+G17+G18+G19+G20+G21+G22+G23</f>
        <v>14320443</v>
      </c>
      <c r="H14" s="15">
        <f t="shared" si="3"/>
        <v>12025574</v>
      </c>
      <c r="I14" s="15">
        <f>SUM(I15:I23)</f>
        <v>13628209</v>
      </c>
      <c r="J14" s="15">
        <f t="shared" si="3"/>
        <v>17014361</v>
      </c>
      <c r="K14" s="15">
        <f>SUM(K15:K23)</f>
        <v>20089026</v>
      </c>
      <c r="L14" s="15">
        <f t="shared" si="3"/>
        <v>55059445</v>
      </c>
      <c r="M14" s="15">
        <f t="shared" si="3"/>
        <v>63322361</v>
      </c>
      <c r="N14" s="15">
        <f t="shared" si="3"/>
        <v>0</v>
      </c>
      <c r="O14" s="15">
        <f t="shared" si="3"/>
        <v>0</v>
      </c>
      <c r="P14" s="15">
        <f>SUM(P15+P16+P17+P19+P20+P21+P22+P23)+P18</f>
        <v>219535933</v>
      </c>
      <c r="S14" s="13"/>
    </row>
    <row r="15" spans="1:34" ht="15" customHeight="1" x14ac:dyDescent="0.25">
      <c r="A15" s="24" t="s">
        <v>8</v>
      </c>
      <c r="B15" s="56">
        <v>43740617</v>
      </c>
      <c r="C15" s="56"/>
      <c r="D15" s="18">
        <f>2416+1544096+10987+28735+38459+11043+15593</f>
        <v>1651329</v>
      </c>
      <c r="E15" s="27">
        <f>19476+1429773+145994+1351970+23367+76561</f>
        <v>3047141</v>
      </c>
      <c r="F15" s="27">
        <f>9783+1500414+77551+2049874+1290197+21195+54081</f>
        <v>5003095</v>
      </c>
      <c r="G15" s="27">
        <f>7244+1472296+136135+2220029+1384228+58284</f>
        <v>5278216</v>
      </c>
      <c r="H15" s="27">
        <f>9857+2237738+91432+2282040+1472259+61966</f>
        <v>6155292</v>
      </c>
      <c r="I15" s="27">
        <f>9336+1963458+45583+2630839+1665209+10863+50905</f>
        <v>6376193</v>
      </c>
      <c r="J15" s="27">
        <f>3970+1696811+121189+2944042+1884828+31305+45765</f>
        <v>6727910</v>
      </c>
      <c r="K15" s="16">
        <f>18704+1968397+80873+2404684+1593922+31984+45625</f>
        <v>6144189</v>
      </c>
      <c r="L15" s="16">
        <f>9534+1973334+84649+1866721+1216157+27090+48193</f>
        <v>5225678</v>
      </c>
      <c r="M15" s="29">
        <f>6185+1279990+68764+675045+438685+13076+50950</f>
        <v>2532695</v>
      </c>
      <c r="P15" s="16">
        <f>SUM(D15:M15)</f>
        <v>48141738</v>
      </c>
      <c r="R15" s="13"/>
    </row>
    <row r="16" spans="1:34" ht="15" customHeight="1" x14ac:dyDescent="0.25">
      <c r="A16" s="25" t="s">
        <v>9</v>
      </c>
      <c r="B16" s="56">
        <v>5500000</v>
      </c>
      <c r="C16" s="56"/>
      <c r="D16" s="18">
        <v>286386</v>
      </c>
      <c r="E16" s="27">
        <f>2190+212+4308+783</f>
        <v>7493</v>
      </c>
      <c r="F16" s="27">
        <f>2554+315+2900</f>
        <v>5769</v>
      </c>
      <c r="G16" s="27">
        <f>7657+24496</f>
        <v>32153</v>
      </c>
      <c r="H16" s="27">
        <f>22302+3713+53854</f>
        <v>79869</v>
      </c>
      <c r="I16" s="27">
        <f>6372+163548+44703</f>
        <v>214623</v>
      </c>
      <c r="J16" s="27">
        <v>3186</v>
      </c>
      <c r="K16" s="16">
        <f>439466+375+525</f>
        <v>440366</v>
      </c>
      <c r="L16" s="16">
        <f>14524+3151+455</f>
        <v>18130</v>
      </c>
      <c r="M16" s="29">
        <f>43088+6490</f>
        <v>49578</v>
      </c>
      <c r="P16" s="16">
        <f t="shared" ref="P16:P22" si="4">SUM(D16:M16)</f>
        <v>1137553</v>
      </c>
      <c r="R16" s="13"/>
    </row>
    <row r="17" spans="1:34" ht="15" customHeight="1" x14ac:dyDescent="0.25">
      <c r="A17" s="24" t="s">
        <v>10</v>
      </c>
      <c r="B17" s="56">
        <v>5457426</v>
      </c>
      <c r="C17" s="56"/>
      <c r="D17" s="18">
        <v>6160</v>
      </c>
      <c r="E17" s="27">
        <f>28583+12150+283890+1900+7000</f>
        <v>333523</v>
      </c>
      <c r="F17" s="27">
        <f>50968+8300+19550</f>
        <v>78818</v>
      </c>
      <c r="G17" s="27">
        <f>18800+11900+700+17371+24700</f>
        <v>73471</v>
      </c>
      <c r="H17" s="27">
        <f>48350+27000+700+12300+12300</f>
        <v>100650</v>
      </c>
      <c r="I17" s="27">
        <f>1300000+20100</f>
        <v>1320100</v>
      </c>
      <c r="J17" s="27">
        <f>50056+711000+26500+12850</f>
        <v>800406</v>
      </c>
      <c r="K17" s="16">
        <f>31850+29450+4200+5510+3900</f>
        <v>74910</v>
      </c>
      <c r="L17" s="16">
        <f>85770+82400+11100+16400+2200</f>
        <v>197870</v>
      </c>
      <c r="M17" s="29">
        <f>89600+50000+10860+1400</f>
        <v>151860</v>
      </c>
      <c r="P17" s="16">
        <f t="shared" si="4"/>
        <v>3137768</v>
      </c>
      <c r="R17" s="13"/>
    </row>
    <row r="18" spans="1:34" ht="15" customHeight="1" x14ac:dyDescent="0.25">
      <c r="A18" s="24" t="s">
        <v>11</v>
      </c>
      <c r="B18" s="56">
        <v>2903094</v>
      </c>
      <c r="C18" s="56"/>
      <c r="D18" s="18">
        <f>204310+1080</f>
        <v>205390</v>
      </c>
      <c r="E18" s="27">
        <f>54859+7840+3239+395433</f>
        <v>461371</v>
      </c>
      <c r="F18" s="27">
        <f>3655+1840+1184+201+1620</f>
        <v>8500</v>
      </c>
      <c r="G18" s="27">
        <f>19310+5352+1401</f>
        <v>26063</v>
      </c>
      <c r="H18" s="27">
        <f>342233+3870+260</f>
        <v>346363</v>
      </c>
      <c r="I18" s="27">
        <v>1740</v>
      </c>
      <c r="J18" s="27">
        <f>685303+1743</f>
        <v>687046</v>
      </c>
      <c r="K18" s="16">
        <f>120+10995+840+2345</f>
        <v>14300</v>
      </c>
      <c r="L18" s="16">
        <f>6238+14361+9463+1100+7061</f>
        <v>38223</v>
      </c>
      <c r="M18" s="29">
        <f>22600+60+960</f>
        <v>23620</v>
      </c>
      <c r="P18" s="16">
        <f t="shared" si="4"/>
        <v>1812616</v>
      </c>
      <c r="R18" s="13"/>
    </row>
    <row r="19" spans="1:34" ht="15" customHeight="1" x14ac:dyDescent="0.25">
      <c r="A19" s="24" t="s">
        <v>12</v>
      </c>
      <c r="B19" s="56">
        <v>27905000</v>
      </c>
      <c r="C19" s="56"/>
      <c r="D19" s="18">
        <v>6000</v>
      </c>
      <c r="E19" s="27">
        <f>36000+384542</f>
        <v>420542</v>
      </c>
      <c r="F19" s="27">
        <f>79650+2902908</f>
        <v>2982558</v>
      </c>
      <c r="G19" s="27">
        <v>4164847</v>
      </c>
      <c r="H19" s="27">
        <f>43668+3154483</f>
        <v>3198151</v>
      </c>
      <c r="I19" s="27">
        <f>295366+3903541</f>
        <v>4198907</v>
      </c>
      <c r="J19" s="27">
        <f>6680+2615664</f>
        <v>2622344</v>
      </c>
      <c r="K19" s="16">
        <f>72000+377979</f>
        <v>449979</v>
      </c>
      <c r="L19" s="16">
        <f>95600+56640+12000+2096471</f>
        <v>2260711</v>
      </c>
      <c r="M19" s="29">
        <f>12000+2829310</f>
        <v>2841310</v>
      </c>
      <c r="P19" s="16">
        <f t="shared" si="4"/>
        <v>23145349</v>
      </c>
      <c r="R19" s="13"/>
    </row>
    <row r="20" spans="1:34" ht="15" customHeight="1" x14ac:dyDescent="0.25">
      <c r="A20" s="24" t="s">
        <v>13</v>
      </c>
      <c r="B20" s="56">
        <v>11013660</v>
      </c>
      <c r="C20" s="56"/>
      <c r="D20" s="18">
        <v>51407</v>
      </c>
      <c r="E20" s="27">
        <v>41039</v>
      </c>
      <c r="F20" s="27">
        <v>1001985</v>
      </c>
      <c r="G20" s="27">
        <f>997405+5803</f>
        <v>1003208</v>
      </c>
      <c r="H20" s="27">
        <v>55516</v>
      </c>
      <c r="I20" s="27">
        <v>37365</v>
      </c>
      <c r="J20" s="27">
        <v>1000038</v>
      </c>
      <c r="K20" s="16">
        <f>1052+54336</f>
        <v>55388</v>
      </c>
      <c r="L20" s="16">
        <v>37365</v>
      </c>
      <c r="M20" s="29">
        <v>81447</v>
      </c>
      <c r="P20" s="16">
        <f t="shared" si="4"/>
        <v>3364758</v>
      </c>
      <c r="R20" s="13"/>
    </row>
    <row r="21" spans="1:34" ht="21" customHeight="1" x14ac:dyDescent="0.25">
      <c r="A21" s="24" t="s">
        <v>14</v>
      </c>
      <c r="B21" s="56">
        <v>10055379</v>
      </c>
      <c r="C21" s="56"/>
      <c r="D21" s="18">
        <f>5487+116549+2243758+31506</f>
        <v>2397300</v>
      </c>
      <c r="E21" s="27">
        <f>57562+48423+20178+177</f>
        <v>126340</v>
      </c>
      <c r="F21" s="27">
        <f>10722+74684+1354934</f>
        <v>1440340</v>
      </c>
      <c r="G21" s="27">
        <f>566102+11040</f>
        <v>577142</v>
      </c>
      <c r="H21" s="27">
        <f>89317+50106+1500+949666</f>
        <v>1090589</v>
      </c>
      <c r="I21" s="27"/>
      <c r="J21" s="27">
        <f>36900+144051+54988</f>
        <v>235939</v>
      </c>
      <c r="K21" s="16">
        <f>12902+28443+8260+1993150+11630</f>
        <v>2054385</v>
      </c>
      <c r="L21" s="16">
        <f>15631+107487+7790+805396+35804</f>
        <v>972108</v>
      </c>
      <c r="M21" s="29">
        <f>50629+12401839</f>
        <v>12452468</v>
      </c>
      <c r="P21" s="16">
        <f t="shared" si="4"/>
        <v>21346611</v>
      </c>
      <c r="R21" s="13"/>
    </row>
    <row r="22" spans="1:34" ht="15" customHeight="1" x14ac:dyDescent="0.25">
      <c r="A22" s="24" t="s">
        <v>15</v>
      </c>
      <c r="B22" s="56">
        <v>19031836</v>
      </c>
      <c r="C22" s="56"/>
      <c r="D22" s="18">
        <f>1217425+718+5393</f>
        <v>1223536</v>
      </c>
      <c r="E22" s="27">
        <f>629450+153988</f>
        <v>783438</v>
      </c>
      <c r="F22" s="27">
        <f>702382+999</f>
        <v>703381</v>
      </c>
      <c r="G22" s="27">
        <f>433040+8282</f>
        <v>441322</v>
      </c>
      <c r="H22" s="27">
        <f>324861+7470</f>
        <v>332331</v>
      </c>
      <c r="I22" s="27">
        <f>391683+714+82613</f>
        <v>475010</v>
      </c>
      <c r="J22" s="27">
        <f>2012774+21000+60000+655418+30000</f>
        <v>2779192</v>
      </c>
      <c r="K22" s="16">
        <f>8334126+75288+1931834</f>
        <v>10341248</v>
      </c>
      <c r="L22" s="16">
        <f>581435+43988003</f>
        <v>44569438</v>
      </c>
      <c r="M22" s="29">
        <f>21095536+317821+20672289</f>
        <v>42085646</v>
      </c>
      <c r="P22" s="16">
        <f t="shared" si="4"/>
        <v>103734542</v>
      </c>
      <c r="R22" s="13"/>
    </row>
    <row r="23" spans="1:34" ht="15" customHeight="1" x14ac:dyDescent="0.25">
      <c r="A23" s="24" t="s">
        <v>37</v>
      </c>
      <c r="B23" s="56">
        <v>2200000</v>
      </c>
      <c r="C23" s="56"/>
      <c r="D23" s="18">
        <f>590821</f>
        <v>590821</v>
      </c>
      <c r="E23" s="27">
        <v>399766</v>
      </c>
      <c r="F23" s="27">
        <f>410727+402359</f>
        <v>813086</v>
      </c>
      <c r="G23" s="27">
        <f>1423562+704493+400519+195447</f>
        <v>2724021</v>
      </c>
      <c r="H23" s="27">
        <v>666813</v>
      </c>
      <c r="I23" s="27">
        <v>1004271</v>
      </c>
      <c r="J23" s="27">
        <v>2158300</v>
      </c>
      <c r="K23" s="16">
        <f>96217+418044</f>
        <v>514261</v>
      </c>
      <c r="L23" s="16">
        <f>1006583+733339</f>
        <v>1739922</v>
      </c>
      <c r="M23" s="29">
        <f>2864787+238950</f>
        <v>3103737</v>
      </c>
      <c r="P23" s="16">
        <f>SUM(D23:M23)</f>
        <v>13714998</v>
      </c>
      <c r="R23" s="13"/>
      <c r="AH23" s="44">
        <f>+D23-590821</f>
        <v>0</v>
      </c>
    </row>
    <row r="24" spans="1:34" s="28" customFormat="1" x14ac:dyDescent="0.25">
      <c r="A24" s="3" t="s">
        <v>16</v>
      </c>
      <c r="B24" s="58">
        <v>660393127</v>
      </c>
      <c r="C24" s="58"/>
      <c r="D24" s="15">
        <f>SUM(D25:D33)</f>
        <v>11240701</v>
      </c>
      <c r="E24" s="15">
        <f>SUM(E25:E33)</f>
        <v>35852489</v>
      </c>
      <c r="F24" s="15">
        <f t="shared" ref="F24:O24" si="5">SUM(F25:F33)</f>
        <v>50774074</v>
      </c>
      <c r="G24" s="15">
        <f>+G25+G26+G27+G28+G29+G30+G31+G33</f>
        <v>59473834</v>
      </c>
      <c r="H24" s="15">
        <f t="shared" si="5"/>
        <v>79556178</v>
      </c>
      <c r="I24" s="15">
        <f t="shared" si="5"/>
        <v>59667712</v>
      </c>
      <c r="J24" s="15">
        <f t="shared" si="5"/>
        <v>50602815</v>
      </c>
      <c r="K24" s="22">
        <f>SUM(K25:K33)</f>
        <v>26774622</v>
      </c>
      <c r="L24" s="22">
        <f t="shared" si="5"/>
        <v>10761581</v>
      </c>
      <c r="M24" s="66">
        <f t="shared" si="5"/>
        <v>9984717</v>
      </c>
      <c r="N24" s="22">
        <f t="shared" si="5"/>
        <v>0</v>
      </c>
      <c r="O24" s="22">
        <f t="shared" si="5"/>
        <v>0</v>
      </c>
      <c r="P24" s="22">
        <f>+P25+P26+P29+P31+P32+P28+P27+P30+P33</f>
        <v>394688723</v>
      </c>
    </row>
    <row r="25" spans="1:34" ht="15" customHeight="1" x14ac:dyDescent="0.25">
      <c r="A25" s="24" t="s">
        <v>17</v>
      </c>
      <c r="B25" s="56">
        <v>425343212</v>
      </c>
      <c r="C25" s="56"/>
      <c r="D25" s="18">
        <f>8842+175975+1103</f>
        <v>185920</v>
      </c>
      <c r="E25" s="27">
        <f>88100+2166+26229567+18833</f>
        <v>26338666</v>
      </c>
      <c r="F25" s="27">
        <f>81502+17664+3387+43184233</f>
        <v>43286786</v>
      </c>
      <c r="G25" s="27">
        <f>44253+11160+45717557+36000</f>
        <v>45808970</v>
      </c>
      <c r="H25" s="27">
        <f>25878+24246+63279837</f>
        <v>63329961</v>
      </c>
      <c r="I25" s="27">
        <f>20647+47558801</f>
        <v>47579448</v>
      </c>
      <c r="J25" s="27">
        <f>51878+47563+47642958</f>
        <v>47742399</v>
      </c>
      <c r="K25" s="16">
        <f>50012+71109+13263731</f>
        <v>13384852</v>
      </c>
      <c r="L25" s="16">
        <f>118989+26206+8390+5771+153841+700</f>
        <v>313897</v>
      </c>
      <c r="M25" s="29">
        <f>51971+47872+13799</f>
        <v>113642</v>
      </c>
      <c r="P25" s="16">
        <f>SUM(D25:M25)</f>
        <v>288084541</v>
      </c>
    </row>
    <row r="26" spans="1:34" ht="15" customHeight="1" x14ac:dyDescent="0.25">
      <c r="A26" s="24" t="s">
        <v>18</v>
      </c>
      <c r="B26" s="56">
        <v>11395660</v>
      </c>
      <c r="C26" s="56"/>
      <c r="D26" s="18">
        <v>0</v>
      </c>
      <c r="E26" s="27">
        <f>16506+70431+295</f>
        <v>87232</v>
      </c>
      <c r="F26" s="27">
        <f>475+856247</f>
        <v>856722</v>
      </c>
      <c r="G26" s="27">
        <f>258+1545+2263476</f>
        <v>2265279</v>
      </c>
      <c r="H26" s="27">
        <f>1010+76886+406111</f>
        <v>484007</v>
      </c>
      <c r="I26" s="27">
        <v>1874580</v>
      </c>
      <c r="J26" s="27">
        <v>675</v>
      </c>
      <c r="K26" s="16">
        <f>315+8895</f>
        <v>9210</v>
      </c>
      <c r="L26" s="16">
        <f>877+1699+650</f>
        <v>3226</v>
      </c>
      <c r="M26" s="29">
        <f>1676+2321</f>
        <v>3997</v>
      </c>
      <c r="P26" s="16">
        <f t="shared" ref="P26:P31" si="6">SUM(D26:M26)</f>
        <v>5584928</v>
      </c>
    </row>
    <row r="27" spans="1:34" ht="15" customHeight="1" x14ac:dyDescent="0.25">
      <c r="A27" s="24" t="s">
        <v>19</v>
      </c>
      <c r="B27" s="56">
        <v>3949979</v>
      </c>
      <c r="C27" s="56"/>
      <c r="D27" s="18">
        <f>20615+6765</f>
        <v>27380</v>
      </c>
      <c r="E27" s="27">
        <f>5221+64522+2159+37697</f>
        <v>109599</v>
      </c>
      <c r="F27" s="18">
        <v>0</v>
      </c>
      <c r="G27" s="27">
        <f>4056+45032</f>
        <v>49088</v>
      </c>
      <c r="H27" s="27">
        <f>1206+152930+58402</f>
        <v>212538</v>
      </c>
      <c r="I27" s="27">
        <f>3967+13983+36244</f>
        <v>54194</v>
      </c>
      <c r="J27" s="27">
        <f>39948+68565</f>
        <v>108513</v>
      </c>
      <c r="K27" s="16">
        <f>2872+477864+4466</f>
        <v>485202</v>
      </c>
      <c r="L27" s="16">
        <f>43411+74305+5213</f>
        <v>122929</v>
      </c>
      <c r="M27" s="29">
        <f>10672+52943+33427-1</f>
        <v>97041</v>
      </c>
      <c r="P27" s="16">
        <f t="shared" si="6"/>
        <v>1266484</v>
      </c>
    </row>
    <row r="28" spans="1:34" ht="15" customHeight="1" x14ac:dyDescent="0.25">
      <c r="A28" s="24" t="s">
        <v>20</v>
      </c>
      <c r="B28" s="56">
        <v>2325048</v>
      </c>
      <c r="C28" s="56"/>
      <c r="D28" s="18">
        <v>35538</v>
      </c>
      <c r="E28" s="27"/>
      <c r="F28" s="18">
        <v>0</v>
      </c>
      <c r="G28" s="27">
        <v>0</v>
      </c>
      <c r="H28" s="27">
        <v>156496</v>
      </c>
      <c r="I28" s="27">
        <v>639</v>
      </c>
      <c r="J28" s="27">
        <v>0</v>
      </c>
      <c r="K28" s="16">
        <f>210+248423</f>
        <v>248633</v>
      </c>
      <c r="L28" s="16">
        <v>129187</v>
      </c>
      <c r="M28" s="29">
        <v>5440</v>
      </c>
      <c r="P28" s="16">
        <f t="shared" si="6"/>
        <v>575933</v>
      </c>
    </row>
    <row r="29" spans="1:34" ht="15" customHeight="1" x14ac:dyDescent="0.25">
      <c r="A29" s="24" t="s">
        <v>21</v>
      </c>
      <c r="B29" s="56">
        <v>20524454</v>
      </c>
      <c r="C29" s="56"/>
      <c r="D29" s="18">
        <f>23668+237473+1622493</f>
        <v>1883634</v>
      </c>
      <c r="E29" s="27">
        <f>10617+23493+867+366725</f>
        <v>401702</v>
      </c>
      <c r="F29" s="27">
        <f>12200+2524+278480</f>
        <v>293204</v>
      </c>
      <c r="G29" s="27">
        <f>21229+1000763</f>
        <v>1021992</v>
      </c>
      <c r="H29" s="27">
        <f>11677+20760+862444</f>
        <v>894881</v>
      </c>
      <c r="I29" s="27">
        <f>118184+7107</f>
        <v>125291</v>
      </c>
      <c r="J29" s="27">
        <f>26530+177066</f>
        <v>203596</v>
      </c>
      <c r="K29" s="16">
        <f>134+121028+1186284</f>
        <v>1307446</v>
      </c>
      <c r="L29" s="16">
        <f>4201+231266+940</f>
        <v>236407</v>
      </c>
      <c r="M29" s="29">
        <f>20077+79741+401068</f>
        <v>500886</v>
      </c>
      <c r="P29" s="16">
        <f t="shared" si="6"/>
        <v>6869039</v>
      </c>
    </row>
    <row r="30" spans="1:34" ht="15" customHeight="1" x14ac:dyDescent="0.25">
      <c r="A30" s="24" t="s">
        <v>22</v>
      </c>
      <c r="B30" s="56">
        <v>41014315</v>
      </c>
      <c r="C30" s="56"/>
      <c r="D30" s="18">
        <f>3100+28320+1145102+38850+102424</f>
        <v>1317796</v>
      </c>
      <c r="E30" s="27">
        <f>4995+2714+20218+3652074+412174</f>
        <v>4092175</v>
      </c>
      <c r="F30" s="27">
        <f>682+200771</f>
        <v>201453</v>
      </c>
      <c r="G30" s="27">
        <f>4435+527+18384+593694</f>
        <v>617040</v>
      </c>
      <c r="H30" s="27">
        <f>5253+1333+3341373+4700</f>
        <v>3352659</v>
      </c>
      <c r="I30" s="27">
        <f>15825+23360</f>
        <v>39185</v>
      </c>
      <c r="J30" s="27">
        <f>1904+94143</f>
        <v>96047</v>
      </c>
      <c r="K30" s="16">
        <f>6270+863145</f>
        <v>869415</v>
      </c>
      <c r="L30" s="16">
        <f>6027+10954+1180+1652058+14455</f>
        <v>1684674</v>
      </c>
      <c r="M30" s="29">
        <f>21306+2461574</f>
        <v>2482880</v>
      </c>
      <c r="P30" s="16">
        <f t="shared" si="6"/>
        <v>14753324</v>
      </c>
    </row>
    <row r="31" spans="1:34" ht="15" customHeight="1" x14ac:dyDescent="0.25">
      <c r="A31" s="24" t="s">
        <v>23</v>
      </c>
      <c r="B31" s="56">
        <v>124554572</v>
      </c>
      <c r="C31" s="56"/>
      <c r="D31" s="18">
        <f>26487+1110986+2355524</f>
        <v>3492997</v>
      </c>
      <c r="E31" s="27">
        <f>22790+62521+82362+973658+4025</f>
        <v>1145356</v>
      </c>
      <c r="F31" s="27">
        <f>16094+377444+22680+4320251+1000</f>
        <v>4737469</v>
      </c>
      <c r="G31" s="27">
        <f>19104+195139+6036596</f>
        <v>6250839</v>
      </c>
      <c r="H31" s="27">
        <f>75744+137336+39100+7838273+13708</f>
        <v>8104161</v>
      </c>
      <c r="I31" s="27">
        <f>2969+501100+7588066</f>
        <v>8092135</v>
      </c>
      <c r="J31" s="27">
        <f>15944+96300+2036586</f>
        <v>2148830</v>
      </c>
      <c r="K31" s="16">
        <f>41769+700407+13786+7195647+3935</f>
        <v>7955544</v>
      </c>
      <c r="L31" s="16">
        <f>264695+633747+134277+4687988+16000</f>
        <v>5736707</v>
      </c>
      <c r="M31" s="29">
        <f>89261+539753+2610+3255640</f>
        <v>3887264</v>
      </c>
      <c r="P31" s="16">
        <f t="shared" si="6"/>
        <v>51551302</v>
      </c>
    </row>
    <row r="32" spans="1:34" ht="15" customHeight="1" x14ac:dyDescent="0.25">
      <c r="A32" s="25" t="s">
        <v>38</v>
      </c>
      <c r="B32" s="47">
        <v>0</v>
      </c>
      <c r="C32" s="47"/>
      <c r="D32" s="18">
        <v>0</v>
      </c>
      <c r="E32" s="16"/>
      <c r="F32" s="18">
        <v>0</v>
      </c>
      <c r="G32" s="27">
        <v>0</v>
      </c>
      <c r="H32" s="27">
        <v>0</v>
      </c>
      <c r="I32" s="27">
        <v>0</v>
      </c>
      <c r="J32" s="27">
        <v>0</v>
      </c>
      <c r="K32" s="16"/>
      <c r="L32" s="16"/>
      <c r="M32" s="29"/>
      <c r="P32" s="16">
        <f t="shared" ref="P32" si="7">SUM(D32:K32)</f>
        <v>0</v>
      </c>
    </row>
    <row r="33" spans="1:16" ht="15" customHeight="1" x14ac:dyDescent="0.25">
      <c r="A33" s="24" t="s">
        <v>24</v>
      </c>
      <c r="B33" s="56">
        <v>31285887</v>
      </c>
      <c r="C33" s="56"/>
      <c r="D33" s="18">
        <f>152310+613708+3506048+8850+16520</f>
        <v>4297436</v>
      </c>
      <c r="E33" s="27">
        <f>29490+422479+35987+3189534+269</f>
        <v>3677759</v>
      </c>
      <c r="F33" s="27">
        <f>197072+754814+840+445714</f>
        <v>1398440</v>
      </c>
      <c r="G33" s="27">
        <f>130346+262291+3067184+805</f>
        <v>3460626</v>
      </c>
      <c r="H33" s="27">
        <f>799410+255958+1951498+14609</f>
        <v>3021475</v>
      </c>
      <c r="I33" s="27">
        <f>2671+58817+1840752</f>
        <v>1902240</v>
      </c>
      <c r="J33" s="27">
        <f>22588+25524+254643</f>
        <v>302755</v>
      </c>
      <c r="K33" s="16">
        <f>290628+460584+1732023+31085</f>
        <v>2514320</v>
      </c>
      <c r="L33" s="16">
        <f>359707+1137355+1275+941953+94264</f>
        <v>2534554</v>
      </c>
      <c r="M33" s="29">
        <f>48048+700649+6751+2138119</f>
        <v>2893567</v>
      </c>
      <c r="P33" s="16">
        <f>SUM(D33:M33)</f>
        <v>26003172</v>
      </c>
    </row>
    <row r="34" spans="1:16" s="28" customFormat="1" x14ac:dyDescent="0.25">
      <c r="A34" s="3" t="s">
        <v>25</v>
      </c>
      <c r="B34" s="58">
        <v>4400000</v>
      </c>
      <c r="C34" s="58"/>
      <c r="D34" s="18">
        <f>SUM(D35:D41)</f>
        <v>0</v>
      </c>
      <c r="E34" s="15">
        <f>SUM(E35:E41)</f>
        <v>65000</v>
      </c>
      <c r="F34" s="32">
        <f t="shared" ref="F34:O34" si="8">SUM(F35:F41)</f>
        <v>0</v>
      </c>
      <c r="G34" s="15">
        <f>SUM(G35:G41)</f>
        <v>0</v>
      </c>
      <c r="H34" s="15">
        <f>SUM(H35:H41)</f>
        <v>172669</v>
      </c>
      <c r="I34" s="15">
        <f t="shared" si="8"/>
        <v>0</v>
      </c>
      <c r="J34" s="15">
        <f t="shared" si="8"/>
        <v>93766</v>
      </c>
      <c r="K34" s="15">
        <f>SUM(K35:K41)</f>
        <v>0</v>
      </c>
      <c r="L34" s="15">
        <f t="shared" si="8"/>
        <v>20000</v>
      </c>
      <c r="M34" s="67">
        <f t="shared" si="8"/>
        <v>0</v>
      </c>
      <c r="N34" s="15">
        <f t="shared" si="8"/>
        <v>0</v>
      </c>
      <c r="O34" s="15">
        <f t="shared" si="8"/>
        <v>0</v>
      </c>
      <c r="P34" s="15">
        <f>+P35+P36+P37+P38+P39+P40+P41</f>
        <v>351435</v>
      </c>
    </row>
    <row r="35" spans="1:16" ht="15" customHeight="1" x14ac:dyDescent="0.25">
      <c r="A35" s="24" t="s">
        <v>26</v>
      </c>
      <c r="B35" s="56">
        <v>2000000</v>
      </c>
      <c r="C35" s="56"/>
      <c r="D35" s="18">
        <v>0</v>
      </c>
      <c r="E35" s="27">
        <v>65000</v>
      </c>
      <c r="F35" s="18">
        <v>0</v>
      </c>
      <c r="G35" s="27">
        <v>0</v>
      </c>
      <c r="H35" s="27">
        <v>172669</v>
      </c>
      <c r="I35" s="18"/>
      <c r="J35" s="27">
        <v>93766</v>
      </c>
      <c r="K35" s="16"/>
      <c r="L35" s="16">
        <v>20000</v>
      </c>
      <c r="M35" s="29"/>
      <c r="P35" s="16">
        <f>SUM(D35:M35)</f>
        <v>351435</v>
      </c>
    </row>
    <row r="36" spans="1:16" ht="15" customHeight="1" x14ac:dyDescent="0.25">
      <c r="A36" s="24" t="s">
        <v>39</v>
      </c>
      <c r="B36" s="48">
        <v>0</v>
      </c>
      <c r="C36" s="48"/>
      <c r="D36" s="18">
        <v>0</v>
      </c>
      <c r="E36" s="27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6"/>
      <c r="M36" s="29"/>
      <c r="P36" s="18">
        <f t="shared" ref="P36:P41" si="9">SUM(D36:K36)</f>
        <v>0</v>
      </c>
    </row>
    <row r="37" spans="1:16" ht="15" customHeight="1" x14ac:dyDescent="0.25">
      <c r="A37" s="24" t="s">
        <v>40</v>
      </c>
      <c r="B37" s="48">
        <v>0</v>
      </c>
      <c r="C37" s="48"/>
      <c r="D37" s="18">
        <v>0</v>
      </c>
      <c r="E37" s="27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6"/>
      <c r="M37" s="29"/>
      <c r="P37" s="18">
        <f t="shared" si="9"/>
        <v>0</v>
      </c>
    </row>
    <row r="38" spans="1:16" ht="15" customHeight="1" x14ac:dyDescent="0.25">
      <c r="A38" s="24" t="s">
        <v>41</v>
      </c>
      <c r="B38" s="56">
        <v>1400000</v>
      </c>
      <c r="C38" s="56"/>
      <c r="D38" s="18">
        <v>0</v>
      </c>
      <c r="E38" s="27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6"/>
      <c r="M38" s="29"/>
      <c r="P38" s="18">
        <f t="shared" si="9"/>
        <v>0</v>
      </c>
    </row>
    <row r="39" spans="1:16" ht="15" customHeight="1" x14ac:dyDescent="0.25">
      <c r="A39" s="24" t="s">
        <v>42</v>
      </c>
      <c r="B39" s="48">
        <v>0</v>
      </c>
      <c r="C39" s="48"/>
      <c r="D39" s="18">
        <v>0</v>
      </c>
      <c r="E39" s="27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6"/>
      <c r="M39" s="29"/>
      <c r="P39" s="18">
        <f t="shared" si="9"/>
        <v>0</v>
      </c>
    </row>
    <row r="40" spans="1:16" ht="15" customHeight="1" x14ac:dyDescent="0.25">
      <c r="A40" s="24" t="s">
        <v>27</v>
      </c>
      <c r="B40" s="48">
        <v>0</v>
      </c>
      <c r="C40" s="48"/>
      <c r="D40" s="18">
        <v>0</v>
      </c>
      <c r="E40" s="27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6"/>
      <c r="M40" s="29"/>
      <c r="P40" s="18">
        <f t="shared" si="9"/>
        <v>0</v>
      </c>
    </row>
    <row r="41" spans="1:16" ht="15" customHeight="1" x14ac:dyDescent="0.25">
      <c r="A41" s="24" t="s">
        <v>43</v>
      </c>
      <c r="B41" s="56">
        <v>1000000</v>
      </c>
      <c r="C41" s="56"/>
      <c r="D41" s="18">
        <v>0</v>
      </c>
      <c r="E41" s="27">
        <v>0</v>
      </c>
      <c r="F41" s="18">
        <v>0</v>
      </c>
      <c r="G41" s="27">
        <v>0</v>
      </c>
      <c r="H41" s="27">
        <v>0</v>
      </c>
      <c r="I41" s="18">
        <v>0</v>
      </c>
      <c r="J41" s="18">
        <v>0</v>
      </c>
      <c r="K41" s="16"/>
      <c r="M41" s="29"/>
      <c r="P41" s="18">
        <f t="shared" si="9"/>
        <v>0</v>
      </c>
    </row>
    <row r="42" spans="1:16" s="28" customFormat="1" x14ac:dyDescent="0.25">
      <c r="A42" s="3" t="s">
        <v>44</v>
      </c>
      <c r="B42" s="58">
        <v>2000000</v>
      </c>
      <c r="C42" s="58"/>
      <c r="D42" s="15">
        <f>SUM(D43:D49)</f>
        <v>8328284</v>
      </c>
      <c r="E42" s="15">
        <f>SUM(E43:E49)</f>
        <v>699914</v>
      </c>
      <c r="F42" s="15">
        <f t="shared" ref="F42:O42" si="10">SUM(F43:F49)</f>
        <v>1533782</v>
      </c>
      <c r="G42" s="15">
        <f>+G43+G44+G45+G46+G47+G48+G49</f>
        <v>376929</v>
      </c>
      <c r="H42" s="15">
        <f>SUM(H43:H49)</f>
        <v>2215622</v>
      </c>
      <c r="I42" s="15">
        <f t="shared" si="10"/>
        <v>3970491</v>
      </c>
      <c r="J42" s="15">
        <f t="shared" si="10"/>
        <v>4692835</v>
      </c>
      <c r="K42" s="15">
        <f t="shared" si="10"/>
        <v>2190971</v>
      </c>
      <c r="L42" s="15">
        <f t="shared" si="10"/>
        <v>2021627</v>
      </c>
      <c r="M42" s="67">
        <f t="shared" si="10"/>
        <v>1203085</v>
      </c>
      <c r="N42" s="15">
        <f t="shared" si="10"/>
        <v>0</v>
      </c>
      <c r="O42" s="15">
        <f t="shared" si="10"/>
        <v>0</v>
      </c>
      <c r="P42" s="15">
        <f>SUM(P43+P44+P45+P46+P47+P48+P49)</f>
        <v>27233540</v>
      </c>
    </row>
    <row r="43" spans="1:16" x14ac:dyDescent="0.25">
      <c r="A43" s="24" t="s">
        <v>45</v>
      </c>
      <c r="B43" s="56">
        <v>2000000</v>
      </c>
      <c r="C43" s="56"/>
      <c r="D43" s="18">
        <v>7224156</v>
      </c>
      <c r="E43" s="27">
        <v>434369</v>
      </c>
      <c r="F43" s="27">
        <v>869327</v>
      </c>
      <c r="G43" s="27">
        <v>210422</v>
      </c>
      <c r="H43" s="27">
        <v>1735153</v>
      </c>
      <c r="I43" s="27">
        <v>3615237</v>
      </c>
      <c r="J43" s="27">
        <v>4370388</v>
      </c>
      <c r="K43" s="27">
        <v>2038523</v>
      </c>
      <c r="L43" s="27">
        <v>1777705</v>
      </c>
      <c r="M43" s="29">
        <v>1093814</v>
      </c>
      <c r="P43" s="27">
        <f>SUM(D43:M43)</f>
        <v>23369094</v>
      </c>
    </row>
    <row r="44" spans="1:16" x14ac:dyDescent="0.25">
      <c r="A44" s="24" t="s">
        <v>46</v>
      </c>
      <c r="B44" s="47">
        <v>0</v>
      </c>
      <c r="C44" s="47"/>
      <c r="D44" s="18">
        <v>0</v>
      </c>
      <c r="E44" s="27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6"/>
      <c r="M44" s="29"/>
      <c r="P44" s="18">
        <f t="shared" ref="P44:P49" si="11">SUM(D44:K44)</f>
        <v>0</v>
      </c>
    </row>
    <row r="45" spans="1:16" x14ac:dyDescent="0.25">
      <c r="A45" s="24" t="s">
        <v>47</v>
      </c>
      <c r="B45" s="47">
        <v>0</v>
      </c>
      <c r="C45" s="47"/>
      <c r="D45" s="18">
        <v>0</v>
      </c>
      <c r="E45" s="27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6"/>
      <c r="M45" s="29"/>
      <c r="P45" s="18">
        <f t="shared" si="11"/>
        <v>0</v>
      </c>
    </row>
    <row r="46" spans="1:16" x14ac:dyDescent="0.25">
      <c r="A46" s="24" t="s">
        <v>48</v>
      </c>
      <c r="B46" s="47">
        <v>0</v>
      </c>
      <c r="C46" s="47"/>
      <c r="D46" s="18">
        <v>0</v>
      </c>
      <c r="E46" s="27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6"/>
      <c r="M46" s="29"/>
      <c r="P46" s="18">
        <f t="shared" si="11"/>
        <v>0</v>
      </c>
    </row>
    <row r="47" spans="1:16" x14ac:dyDescent="0.25">
      <c r="A47" s="24" t="s">
        <v>49</v>
      </c>
      <c r="B47" s="47">
        <v>0</v>
      </c>
      <c r="C47" s="47"/>
      <c r="D47" s="18">
        <v>1104128</v>
      </c>
      <c r="E47" s="27">
        <v>265545</v>
      </c>
      <c r="F47" s="27">
        <v>664455</v>
      </c>
      <c r="G47" s="27">
        <v>166507</v>
      </c>
      <c r="H47" s="27">
        <v>480469</v>
      </c>
      <c r="I47" s="27">
        <v>355254</v>
      </c>
      <c r="J47" s="27">
        <v>322447</v>
      </c>
      <c r="K47" s="27">
        <v>152448</v>
      </c>
      <c r="L47" s="27">
        <v>243922</v>
      </c>
      <c r="M47" s="29">
        <v>109271</v>
      </c>
      <c r="P47" s="27">
        <f>SUM(D47:M47)</f>
        <v>3864446</v>
      </c>
    </row>
    <row r="48" spans="1:16" x14ac:dyDescent="0.25">
      <c r="A48" s="24" t="s">
        <v>50</v>
      </c>
      <c r="B48" s="47">
        <v>0</v>
      </c>
      <c r="C48" s="47"/>
      <c r="D48" s="18">
        <v>0</v>
      </c>
      <c r="E48" s="27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6"/>
      <c r="M48" s="29"/>
      <c r="P48" s="18">
        <f t="shared" si="11"/>
        <v>0</v>
      </c>
    </row>
    <row r="49" spans="1:16" x14ac:dyDescent="0.25">
      <c r="A49" s="24" t="s">
        <v>51</v>
      </c>
      <c r="B49" s="47">
        <v>0</v>
      </c>
      <c r="C49" s="47"/>
      <c r="D49" s="18">
        <v>0</v>
      </c>
      <c r="E49" s="27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6"/>
      <c r="M49" s="29"/>
      <c r="P49" s="18">
        <f t="shared" si="11"/>
        <v>0</v>
      </c>
    </row>
    <row r="50" spans="1:16" s="28" customFormat="1" x14ac:dyDescent="0.25">
      <c r="A50" s="3" t="s">
        <v>28</v>
      </c>
      <c r="B50" s="58">
        <v>114665125</v>
      </c>
      <c r="C50" s="58"/>
      <c r="D50" s="15">
        <f>SUM(D51:D59)</f>
        <v>585162</v>
      </c>
      <c r="E50" s="15">
        <f>SUM(E51:E59)</f>
        <v>605326</v>
      </c>
      <c r="F50" s="15">
        <f>SUM(F51:F59)</f>
        <v>575125</v>
      </c>
      <c r="G50" s="15">
        <f>SUM(G51:G59)</f>
        <v>282440</v>
      </c>
      <c r="H50" s="15">
        <f>SUM(H51:H59)</f>
        <v>697006</v>
      </c>
      <c r="I50" s="15">
        <f t="shared" ref="I50:J50" si="12">SUM(I51:I59)</f>
        <v>84793</v>
      </c>
      <c r="J50" s="15">
        <f t="shared" si="12"/>
        <v>24020</v>
      </c>
      <c r="K50" s="19">
        <f>SUM(K51:K59)</f>
        <v>536939</v>
      </c>
      <c r="L50" s="19">
        <f t="shared" ref="L50" si="13">SUM(L51:L59)</f>
        <v>893288</v>
      </c>
      <c r="M50" s="68">
        <f t="shared" ref="M50" si="14">SUM(M51:M59)</f>
        <v>1261338</v>
      </c>
      <c r="N50" s="18">
        <f t="shared" ref="N50" si="15">SUM(N51:N59)</f>
        <v>0</v>
      </c>
      <c r="O50" s="18">
        <f t="shared" ref="O50" si="16">SUM(O51:O59)</f>
        <v>0</v>
      </c>
      <c r="P50" s="19">
        <f>+P51+P52+P53+P54+P55+P56++P57+P58+P59</f>
        <v>5545437</v>
      </c>
    </row>
    <row r="51" spans="1:16" x14ac:dyDescent="0.25">
      <c r="A51" s="24" t="s">
        <v>29</v>
      </c>
      <c r="B51" s="56">
        <v>3463940</v>
      </c>
      <c r="C51" s="56"/>
      <c r="D51" s="18">
        <f>13452+51112+176794</f>
        <v>241358</v>
      </c>
      <c r="E51" s="27">
        <f>11505+12625</f>
        <v>24130</v>
      </c>
      <c r="F51" s="27">
        <f>5035+5600+1750</f>
        <v>12385</v>
      </c>
      <c r="G51" s="27">
        <f>16300+153527</f>
        <v>169827</v>
      </c>
      <c r="H51" s="27">
        <f>56416+4575+5305</f>
        <v>66296</v>
      </c>
      <c r="I51" s="27">
        <v>84793</v>
      </c>
      <c r="J51" s="27">
        <f>15295+8725</f>
        <v>24020</v>
      </c>
      <c r="K51" s="18">
        <f>164489+156768+205406</f>
        <v>526663</v>
      </c>
      <c r="L51" s="18">
        <f>89159+157205+12000+2736</f>
        <v>261100</v>
      </c>
      <c r="M51" s="68">
        <f>530056+434817+18965</f>
        <v>983838</v>
      </c>
      <c r="N51" s="18">
        <v>0</v>
      </c>
      <c r="O51" s="18">
        <v>0</v>
      </c>
      <c r="P51" s="18">
        <f>SUM(D51:M51)</f>
        <v>2394410</v>
      </c>
    </row>
    <row r="52" spans="1:16" x14ac:dyDescent="0.25">
      <c r="A52" s="24" t="s">
        <v>93</v>
      </c>
      <c r="B52" s="56">
        <v>223000</v>
      </c>
      <c r="C52" s="56"/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/>
      <c r="L52" s="18">
        <v>0</v>
      </c>
      <c r="M52" s="68">
        <v>0</v>
      </c>
      <c r="N52" s="18">
        <v>0</v>
      </c>
      <c r="O52" s="18">
        <v>0</v>
      </c>
      <c r="P52" s="18">
        <f t="shared" ref="P52:P53" si="17">SUM(D52:K52)</f>
        <v>0</v>
      </c>
    </row>
    <row r="53" spans="1:16" x14ac:dyDescent="0.25">
      <c r="A53" s="24" t="s">
        <v>30</v>
      </c>
      <c r="B53" s="47">
        <v>0</v>
      </c>
      <c r="C53" s="47"/>
      <c r="D53" s="18">
        <v>0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/>
      <c r="L53" s="18">
        <v>0</v>
      </c>
      <c r="M53" s="68">
        <v>0</v>
      </c>
      <c r="N53" s="18">
        <v>0</v>
      </c>
      <c r="O53" s="18">
        <v>0</v>
      </c>
      <c r="P53" s="18">
        <f t="shared" si="17"/>
        <v>0</v>
      </c>
    </row>
    <row r="54" spans="1:16" x14ac:dyDescent="0.25">
      <c r="A54" s="24" t="s">
        <v>31</v>
      </c>
      <c r="B54" s="56">
        <v>14862450</v>
      </c>
      <c r="C54" s="56"/>
      <c r="D54" s="18">
        <v>0</v>
      </c>
      <c r="E54" s="18">
        <v>0</v>
      </c>
      <c r="F54" s="18">
        <v>0</v>
      </c>
      <c r="G54" s="27">
        <v>30645</v>
      </c>
      <c r="H54" s="27">
        <v>0</v>
      </c>
      <c r="I54" s="18">
        <v>0</v>
      </c>
      <c r="J54" s="18">
        <v>0</v>
      </c>
      <c r="K54" s="18"/>
      <c r="L54" s="18">
        <v>0</v>
      </c>
      <c r="M54" s="68">
        <v>0</v>
      </c>
      <c r="N54" s="18">
        <v>0</v>
      </c>
      <c r="O54" s="18">
        <v>0</v>
      </c>
      <c r="P54" s="18">
        <f>SUM(D54:M54)</f>
        <v>30645</v>
      </c>
    </row>
    <row r="55" spans="1:16" x14ac:dyDescent="0.25">
      <c r="A55" s="24" t="s">
        <v>32</v>
      </c>
      <c r="B55" s="56">
        <v>46505735</v>
      </c>
      <c r="C55" s="56"/>
      <c r="D55" s="18">
        <v>343804</v>
      </c>
      <c r="E55" s="18">
        <v>581196</v>
      </c>
      <c r="F55" s="27">
        <v>562740</v>
      </c>
      <c r="G55" s="27">
        <f>1455+80513</f>
        <v>81968</v>
      </c>
      <c r="H55" s="27">
        <v>630710</v>
      </c>
      <c r="I55" s="18">
        <v>0</v>
      </c>
      <c r="J55" s="18">
        <v>0</v>
      </c>
      <c r="K55" s="18">
        <v>10276</v>
      </c>
      <c r="L55" s="18">
        <f>29353+597835</f>
        <v>627188</v>
      </c>
      <c r="M55" s="68">
        <f>10500+267000</f>
        <v>277500</v>
      </c>
      <c r="N55" s="18">
        <v>0</v>
      </c>
      <c r="O55" s="18">
        <v>0</v>
      </c>
      <c r="P55" s="18">
        <f>SUM(D55:M55)</f>
        <v>3115382</v>
      </c>
    </row>
    <row r="56" spans="1:16" x14ac:dyDescent="0.25">
      <c r="A56" s="24" t="s">
        <v>52</v>
      </c>
      <c r="B56" s="48">
        <v>0</v>
      </c>
      <c r="C56" s="48"/>
      <c r="D56" s="16">
        <v>0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/>
      <c r="L56" s="18">
        <v>0</v>
      </c>
      <c r="M56" s="68">
        <v>0</v>
      </c>
      <c r="N56" s="18">
        <v>0</v>
      </c>
      <c r="O56" s="18">
        <v>0</v>
      </c>
      <c r="P56" s="18">
        <f t="shared" ref="P56:P59" si="18">SUM(D56:M56)</f>
        <v>0</v>
      </c>
    </row>
    <row r="57" spans="1:16" x14ac:dyDescent="0.25">
      <c r="A57" s="24" t="s">
        <v>94</v>
      </c>
      <c r="B57" s="56">
        <v>160000</v>
      </c>
      <c r="C57" s="56"/>
      <c r="D57" s="16">
        <v>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/>
      <c r="L57" s="18">
        <v>0</v>
      </c>
      <c r="M57" s="68">
        <v>0</v>
      </c>
      <c r="N57" s="18">
        <v>0</v>
      </c>
      <c r="O57" s="18">
        <v>0</v>
      </c>
      <c r="P57" s="18">
        <f t="shared" si="18"/>
        <v>0</v>
      </c>
    </row>
    <row r="58" spans="1:16" x14ac:dyDescent="0.25">
      <c r="A58" s="24" t="s">
        <v>33</v>
      </c>
      <c r="B58" s="56">
        <v>49450000</v>
      </c>
      <c r="C58" s="56"/>
      <c r="D58" s="16"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/>
      <c r="L58" s="18">
        <v>5000</v>
      </c>
      <c r="M58" s="68">
        <v>0</v>
      </c>
      <c r="N58" s="18">
        <v>0</v>
      </c>
      <c r="O58" s="18">
        <v>0</v>
      </c>
      <c r="P58" s="18">
        <f>SUM(D58:M58)</f>
        <v>5000</v>
      </c>
    </row>
    <row r="59" spans="1:16" x14ac:dyDescent="0.25">
      <c r="A59" s="24" t="s">
        <v>53</v>
      </c>
      <c r="B59" s="48">
        <v>0</v>
      </c>
      <c r="C59" s="48"/>
      <c r="D59" s="16"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/>
      <c r="L59" s="18">
        <v>0</v>
      </c>
      <c r="M59" s="68">
        <v>0</v>
      </c>
      <c r="N59" s="18">
        <v>0</v>
      </c>
      <c r="O59" s="18">
        <v>0</v>
      </c>
      <c r="P59" s="18">
        <f t="shared" si="18"/>
        <v>0</v>
      </c>
    </row>
    <row r="60" spans="1:16" x14ac:dyDescent="0.25">
      <c r="A60" s="24"/>
      <c r="B60" s="48"/>
      <c r="C60" s="48"/>
      <c r="D60" s="16"/>
      <c r="E60" s="18"/>
      <c r="F60" s="18"/>
      <c r="G60" s="18"/>
      <c r="H60" s="18"/>
      <c r="I60" s="18"/>
      <c r="J60" s="18"/>
      <c r="K60" s="18"/>
      <c r="L60" s="18"/>
      <c r="M60" s="68"/>
      <c r="N60" s="18"/>
      <c r="O60" s="18"/>
      <c r="P60" s="18"/>
    </row>
    <row r="61" spans="1:16" s="28" customFormat="1" ht="15.75" x14ac:dyDescent="0.25">
      <c r="A61" s="3" t="s">
        <v>54</v>
      </c>
      <c r="B61" s="58">
        <v>14829000</v>
      </c>
      <c r="C61" s="58"/>
      <c r="D61" s="14">
        <f>SUM(D62:D72)</f>
        <v>0</v>
      </c>
      <c r="E61" s="30">
        <f>SUM(E62:E64)</f>
        <v>0</v>
      </c>
      <c r="F61" s="18">
        <f t="shared" ref="F61:O61" si="19">SUM(F62:F64)</f>
        <v>0</v>
      </c>
      <c r="G61" s="19">
        <f>SUM(G62:G64)</f>
        <v>0</v>
      </c>
      <c r="H61" s="19">
        <f t="shared" si="19"/>
        <v>3127066</v>
      </c>
      <c r="I61" s="19">
        <f t="shared" si="19"/>
        <v>0</v>
      </c>
      <c r="J61" s="19">
        <f t="shared" si="19"/>
        <v>2523813</v>
      </c>
      <c r="K61" s="19">
        <f>SUM(K62:K64)</f>
        <v>733886</v>
      </c>
      <c r="L61" s="19">
        <f t="shared" si="19"/>
        <v>820298</v>
      </c>
      <c r="M61" s="68">
        <f t="shared" si="19"/>
        <v>0</v>
      </c>
      <c r="N61" s="18">
        <f t="shared" si="19"/>
        <v>0</v>
      </c>
      <c r="O61" s="18">
        <f t="shared" si="19"/>
        <v>0</v>
      </c>
      <c r="P61" s="19">
        <f>+P62+P63+P64+P65+P67+P68+P70+P71+P72</f>
        <v>7205063</v>
      </c>
    </row>
    <row r="62" spans="1:16" ht="15" customHeight="1" x14ac:dyDescent="0.25">
      <c r="A62" s="24" t="s">
        <v>55</v>
      </c>
      <c r="B62" s="56">
        <v>14150000</v>
      </c>
      <c r="C62" s="56"/>
      <c r="D62" s="16">
        <v>0</v>
      </c>
      <c r="E62" s="18">
        <v>0</v>
      </c>
      <c r="F62" s="18">
        <v>0</v>
      </c>
      <c r="G62" s="19">
        <v>0</v>
      </c>
      <c r="H62" s="19">
        <v>0</v>
      </c>
      <c r="I62" s="18">
        <v>0</v>
      </c>
      <c r="J62" s="18">
        <v>0</v>
      </c>
      <c r="K62" s="18"/>
      <c r="L62" s="18"/>
      <c r="M62" s="68"/>
      <c r="N62" s="18"/>
      <c r="O62" s="18"/>
      <c r="P62" s="18">
        <f>SUM(D62:K62)</f>
        <v>0</v>
      </c>
    </row>
    <row r="63" spans="1:16" ht="15" customHeight="1" x14ac:dyDescent="0.25">
      <c r="A63" s="24" t="s">
        <v>56</v>
      </c>
      <c r="B63" s="56">
        <v>679000</v>
      </c>
      <c r="C63" s="56"/>
      <c r="D63" s="16">
        <v>0</v>
      </c>
      <c r="E63" s="18">
        <v>0</v>
      </c>
      <c r="F63" s="18">
        <v>0</v>
      </c>
      <c r="G63" s="19">
        <v>0</v>
      </c>
      <c r="H63" s="64">
        <v>3127066</v>
      </c>
      <c r="I63" s="64">
        <v>0</v>
      </c>
      <c r="J63" s="64">
        <v>2523813</v>
      </c>
      <c r="K63" s="64">
        <v>733886</v>
      </c>
      <c r="L63" s="64">
        <v>820298</v>
      </c>
      <c r="M63" s="69">
        <v>0</v>
      </c>
      <c r="N63" s="64">
        <v>0</v>
      </c>
      <c r="O63" s="64">
        <v>0</v>
      </c>
      <c r="P63" s="64">
        <f>SUM(D63:M63)</f>
        <v>7205063</v>
      </c>
    </row>
    <row r="64" spans="1:16" ht="15.75" customHeight="1" x14ac:dyDescent="0.25">
      <c r="A64" s="24" t="s">
        <v>57</v>
      </c>
      <c r="B64" s="48">
        <v>0</v>
      </c>
      <c r="C64" s="48"/>
      <c r="D64" s="16">
        <v>0</v>
      </c>
      <c r="E64" s="19">
        <v>0</v>
      </c>
      <c r="F64" s="18">
        <v>0</v>
      </c>
      <c r="G64" s="19">
        <v>0</v>
      </c>
      <c r="H64" s="19">
        <v>0</v>
      </c>
      <c r="I64" s="19">
        <v>0</v>
      </c>
      <c r="J64" s="19">
        <v>0</v>
      </c>
      <c r="K64" s="18"/>
      <c r="L64" s="18">
        <v>0</v>
      </c>
      <c r="M64" s="68">
        <v>0</v>
      </c>
      <c r="N64" s="18">
        <v>0</v>
      </c>
      <c r="O64" s="18">
        <v>0</v>
      </c>
      <c r="P64" s="64">
        <f t="shared" ref="P64:P72" si="20">SUM(D64:M64)</f>
        <v>0</v>
      </c>
    </row>
    <row r="65" spans="1:18" ht="10.5" customHeight="1" x14ac:dyDescent="0.25">
      <c r="A65" s="24" t="s">
        <v>58</v>
      </c>
      <c r="B65" s="48">
        <v>0</v>
      </c>
      <c r="C65" s="48"/>
      <c r="D65" s="16">
        <v>0</v>
      </c>
      <c r="E65" s="19">
        <v>0</v>
      </c>
      <c r="F65" s="18">
        <v>0</v>
      </c>
      <c r="G65" s="19">
        <v>0</v>
      </c>
      <c r="H65" s="19">
        <v>0</v>
      </c>
      <c r="I65" s="19">
        <v>0</v>
      </c>
      <c r="J65" s="19">
        <v>0</v>
      </c>
      <c r="K65" s="18"/>
      <c r="L65" s="18">
        <v>0</v>
      </c>
      <c r="M65" s="68">
        <v>0</v>
      </c>
      <c r="N65" s="18">
        <v>0</v>
      </c>
      <c r="O65" s="18">
        <v>0</v>
      </c>
      <c r="P65" s="64">
        <f t="shared" si="20"/>
        <v>0</v>
      </c>
    </row>
    <row r="66" spans="1:18" x14ac:dyDescent="0.25">
      <c r="A66" s="3" t="s">
        <v>59</v>
      </c>
      <c r="B66" s="48">
        <v>0</v>
      </c>
      <c r="C66" s="48"/>
      <c r="D66" s="19">
        <f>SUM(D67:D68)</f>
        <v>0</v>
      </c>
      <c r="E66" s="19"/>
      <c r="G66" s="19">
        <v>0</v>
      </c>
      <c r="H66" s="19"/>
      <c r="I66" s="19"/>
      <c r="J66" s="19"/>
      <c r="M66" s="29"/>
      <c r="P66" s="64">
        <f t="shared" si="20"/>
        <v>0</v>
      </c>
    </row>
    <row r="67" spans="1:18" x14ac:dyDescent="0.25">
      <c r="A67" s="24" t="s">
        <v>60</v>
      </c>
      <c r="B67" s="48">
        <v>0</v>
      </c>
      <c r="C67" s="48"/>
      <c r="D67" s="16">
        <v>0</v>
      </c>
      <c r="E67" s="18">
        <v>0</v>
      </c>
      <c r="F67" s="18">
        <v>0</v>
      </c>
      <c r="G67" s="19">
        <v>0</v>
      </c>
      <c r="H67" s="19">
        <v>0</v>
      </c>
      <c r="I67" s="19">
        <v>0</v>
      </c>
      <c r="J67" s="19">
        <v>0</v>
      </c>
      <c r="K67" s="18"/>
      <c r="L67" s="18">
        <v>0</v>
      </c>
      <c r="M67" s="68">
        <v>0</v>
      </c>
      <c r="N67" s="18">
        <v>0</v>
      </c>
      <c r="O67" s="18">
        <v>0</v>
      </c>
      <c r="P67" s="64">
        <f t="shared" si="20"/>
        <v>0</v>
      </c>
    </row>
    <row r="68" spans="1:18" x14ac:dyDescent="0.25">
      <c r="A68" s="24" t="s">
        <v>61</v>
      </c>
      <c r="B68" s="48">
        <v>0</v>
      </c>
      <c r="C68" s="48"/>
      <c r="D68" s="16">
        <v>0</v>
      </c>
      <c r="E68" s="18">
        <v>0</v>
      </c>
      <c r="F68" s="18">
        <v>0</v>
      </c>
      <c r="G68" s="19">
        <v>0</v>
      </c>
      <c r="H68" s="19">
        <v>0</v>
      </c>
      <c r="I68" s="19">
        <v>0</v>
      </c>
      <c r="J68" s="19">
        <v>0</v>
      </c>
      <c r="K68" s="18"/>
      <c r="L68" s="18">
        <v>0</v>
      </c>
      <c r="M68" s="68">
        <v>0</v>
      </c>
      <c r="N68" s="18">
        <v>0</v>
      </c>
      <c r="O68" s="18">
        <v>0</v>
      </c>
      <c r="P68" s="64">
        <f t="shared" si="20"/>
        <v>0</v>
      </c>
    </row>
    <row r="69" spans="1:18" x14ac:dyDescent="0.25">
      <c r="A69" s="3" t="s">
        <v>62</v>
      </c>
      <c r="B69" s="48">
        <v>0</v>
      </c>
      <c r="C69" s="48"/>
      <c r="D69" s="19">
        <f t="shared" ref="D69:I69" si="21">SUM(D70:D71)</f>
        <v>0</v>
      </c>
      <c r="E69" s="19">
        <f t="shared" si="21"/>
        <v>0</v>
      </c>
      <c r="F69" s="19">
        <f t="shared" si="21"/>
        <v>0</v>
      </c>
      <c r="G69" s="19">
        <f t="shared" si="21"/>
        <v>0</v>
      </c>
      <c r="H69" s="19">
        <f t="shared" si="21"/>
        <v>0</v>
      </c>
      <c r="I69" s="19">
        <f t="shared" si="21"/>
        <v>0</v>
      </c>
      <c r="J69" s="19">
        <v>0</v>
      </c>
      <c r="M69" s="29"/>
      <c r="P69" s="64">
        <f t="shared" si="20"/>
        <v>0</v>
      </c>
    </row>
    <row r="70" spans="1:18" x14ac:dyDescent="0.25">
      <c r="A70" s="24" t="s">
        <v>63</v>
      </c>
      <c r="B70" s="48">
        <v>0</v>
      </c>
      <c r="C70" s="48"/>
      <c r="D70" s="16">
        <v>0</v>
      </c>
      <c r="E70" s="19">
        <v>0</v>
      </c>
      <c r="F70" s="18">
        <v>0</v>
      </c>
      <c r="G70" s="18">
        <v>0</v>
      </c>
      <c r="H70" s="18">
        <v>0</v>
      </c>
      <c r="I70" s="18">
        <v>0</v>
      </c>
      <c r="J70" s="18">
        <v>0</v>
      </c>
      <c r="K70" s="18"/>
      <c r="L70" s="18">
        <v>0</v>
      </c>
      <c r="M70" s="68">
        <v>0</v>
      </c>
      <c r="N70" s="18">
        <v>0</v>
      </c>
      <c r="O70" s="18">
        <v>0</v>
      </c>
      <c r="P70" s="64">
        <f t="shared" si="20"/>
        <v>0</v>
      </c>
    </row>
    <row r="71" spans="1:18" x14ac:dyDescent="0.25">
      <c r="A71" s="24" t="s">
        <v>64</v>
      </c>
      <c r="B71" s="48">
        <v>0</v>
      </c>
      <c r="C71" s="48"/>
      <c r="D71" s="16">
        <v>0</v>
      </c>
      <c r="E71" s="19">
        <v>0</v>
      </c>
      <c r="F71" s="18">
        <v>0</v>
      </c>
      <c r="G71" s="18">
        <v>0</v>
      </c>
      <c r="H71" s="18">
        <v>0</v>
      </c>
      <c r="I71" s="18">
        <v>0</v>
      </c>
      <c r="J71" s="18">
        <v>0</v>
      </c>
      <c r="K71" s="18"/>
      <c r="L71" s="18">
        <v>0</v>
      </c>
      <c r="M71" s="68">
        <v>0</v>
      </c>
      <c r="N71" s="18">
        <v>0</v>
      </c>
      <c r="O71" s="18">
        <v>0</v>
      </c>
      <c r="P71" s="64">
        <f t="shared" si="20"/>
        <v>0</v>
      </c>
    </row>
    <row r="72" spans="1:18" x14ac:dyDescent="0.25">
      <c r="A72" s="24" t="s">
        <v>65</v>
      </c>
      <c r="B72" s="48">
        <v>0</v>
      </c>
      <c r="C72" s="48"/>
      <c r="D72" s="16">
        <v>0</v>
      </c>
      <c r="E72" s="19">
        <v>0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/>
      <c r="L72" s="18">
        <v>0</v>
      </c>
      <c r="M72" s="68">
        <v>0</v>
      </c>
      <c r="N72" s="18">
        <v>0</v>
      </c>
      <c r="O72" s="18">
        <v>0</v>
      </c>
      <c r="P72" s="64">
        <f t="shared" si="20"/>
        <v>0</v>
      </c>
    </row>
    <row r="73" spans="1:18" x14ac:dyDescent="0.25">
      <c r="A73" s="6" t="s">
        <v>34</v>
      </c>
      <c r="B73" s="5">
        <v>1816138804</v>
      </c>
      <c r="C73" s="5"/>
      <c r="D73" s="20">
        <f>SUM(D8,D14,D24,D34,D42,D50,D61)</f>
        <v>96080343</v>
      </c>
      <c r="E73" s="20">
        <f>SUM(E8,E14,E24,E34,E42,E50,E61)</f>
        <v>113957739</v>
      </c>
      <c r="F73" s="20">
        <f>SUM(F8,F14,F24,F34,F42,F50,F61)</f>
        <v>150723839</v>
      </c>
      <c r="G73" s="20">
        <f t="shared" ref="G73:O73" si="22">+G8+G14+G24+G34+G42+G50+G61+G66+G69</f>
        <v>135815501</v>
      </c>
      <c r="H73" s="20">
        <f>+H8+H14+H24+H34+H42+H50+H61+H66+H69</f>
        <v>143864813</v>
      </c>
      <c r="I73" s="20">
        <f t="shared" si="22"/>
        <v>150043573</v>
      </c>
      <c r="J73" s="20">
        <f t="shared" si="22"/>
        <v>151235259</v>
      </c>
      <c r="K73" s="20">
        <f t="shared" si="22"/>
        <v>118037847</v>
      </c>
      <c r="L73" s="20">
        <f>+L8+L14+L24+L34+L42+L50+L61+L66+L69</f>
        <v>137634244</v>
      </c>
      <c r="M73" s="70">
        <f t="shared" si="22"/>
        <v>122023355</v>
      </c>
      <c r="N73" s="20">
        <f t="shared" si="22"/>
        <v>0</v>
      </c>
      <c r="O73" s="20">
        <f t="shared" si="22"/>
        <v>0</v>
      </c>
      <c r="P73" s="20">
        <f>+P8+P14+P24+P34+P42+P50+P61</f>
        <v>1319416513</v>
      </c>
      <c r="R73" s="13"/>
    </row>
    <row r="74" spans="1:18" x14ac:dyDescent="0.25">
      <c r="A74" s="4"/>
      <c r="B74" s="29"/>
      <c r="C74" s="29"/>
      <c r="D74" s="18"/>
      <c r="F74" s="34"/>
      <c r="H74"/>
      <c r="M74" s="29"/>
    </row>
    <row r="75" spans="1:18" s="28" customFormat="1" x14ac:dyDescent="0.25">
      <c r="A75" s="1" t="s">
        <v>66</v>
      </c>
      <c r="B75" s="50">
        <v>4000000</v>
      </c>
      <c r="C75" s="50"/>
      <c r="D75" s="35">
        <f>SUM(D76+D79+D82)</f>
        <v>0</v>
      </c>
      <c r="E75" s="36">
        <f t="shared" ref="E75:L75" si="23">SUM(E76+E79+E82)</f>
        <v>0</v>
      </c>
      <c r="F75" s="36">
        <f t="shared" si="23"/>
        <v>66116</v>
      </c>
      <c r="G75" s="36">
        <f t="shared" si="23"/>
        <v>12998400</v>
      </c>
      <c r="H75" s="15">
        <f t="shared" si="23"/>
        <v>31722972</v>
      </c>
      <c r="I75" s="15">
        <f t="shared" si="23"/>
        <v>23003</v>
      </c>
      <c r="J75" s="63">
        <f t="shared" si="23"/>
        <v>91819393</v>
      </c>
      <c r="K75" s="63">
        <f t="shared" si="23"/>
        <v>42203692</v>
      </c>
      <c r="L75" s="63">
        <f t="shared" si="23"/>
        <v>13729135</v>
      </c>
      <c r="M75" s="71"/>
      <c r="N75" s="2"/>
      <c r="O75" s="2"/>
      <c r="P75" s="63">
        <f>+P76+P79+P82</f>
        <v>199372873</v>
      </c>
    </row>
    <row r="76" spans="1:18" s="28" customFormat="1" x14ac:dyDescent="0.25">
      <c r="A76" s="3" t="s">
        <v>67</v>
      </c>
      <c r="B76" s="51">
        <v>0</v>
      </c>
      <c r="C76" s="51"/>
      <c r="D76" s="19">
        <v>0</v>
      </c>
      <c r="E76" s="31">
        <f t="shared" ref="E76:K76" si="24">SUM(E77:E78)</f>
        <v>0</v>
      </c>
      <c r="F76" s="23">
        <f t="shared" si="24"/>
        <v>0</v>
      </c>
      <c r="G76" s="15">
        <f>SUM(G77:G78)</f>
        <v>12998400</v>
      </c>
      <c r="H76" s="45">
        <f t="shared" si="24"/>
        <v>31722972</v>
      </c>
      <c r="I76" s="45">
        <f t="shared" si="24"/>
        <v>0</v>
      </c>
      <c r="J76" s="62">
        <f t="shared" si="24"/>
        <v>82790181</v>
      </c>
      <c r="K76" s="19">
        <f t="shared" si="24"/>
        <v>42203692</v>
      </c>
      <c r="L76" s="19">
        <f>SUM(L77:L78)</f>
        <v>13729135</v>
      </c>
      <c r="M76" s="66"/>
      <c r="P76" s="19">
        <f>+P77+P78</f>
        <v>183444380</v>
      </c>
    </row>
    <row r="77" spans="1:18" x14ac:dyDescent="0.25">
      <c r="A77" s="24" t="s">
        <v>68</v>
      </c>
      <c r="B77" s="48">
        <v>0</v>
      </c>
      <c r="C77" s="48"/>
      <c r="D77" s="18">
        <v>0</v>
      </c>
      <c r="E77" s="18">
        <v>0</v>
      </c>
      <c r="F77" s="19">
        <v>0</v>
      </c>
      <c r="G77" s="27">
        <v>12998400</v>
      </c>
      <c r="H77" s="27">
        <v>31722972</v>
      </c>
      <c r="I77" s="27"/>
      <c r="J77" s="27">
        <v>82790181</v>
      </c>
      <c r="K77" s="27">
        <v>42203692</v>
      </c>
      <c r="L77" s="27">
        <v>13729135</v>
      </c>
      <c r="M77" s="29"/>
      <c r="P77" s="27">
        <f>SUM(D77:M77)</f>
        <v>183444380</v>
      </c>
    </row>
    <row r="78" spans="1:18" x14ac:dyDescent="0.25">
      <c r="A78" s="24" t="s">
        <v>69</v>
      </c>
      <c r="B78" s="48">
        <v>0</v>
      </c>
      <c r="C78" s="48"/>
      <c r="D78" s="18">
        <v>0</v>
      </c>
      <c r="E78" s="19">
        <v>0</v>
      </c>
      <c r="F78" s="19">
        <v>0</v>
      </c>
      <c r="G78" s="19">
        <v>0</v>
      </c>
      <c r="H78" s="19">
        <v>0</v>
      </c>
      <c r="I78" s="19">
        <v>0</v>
      </c>
      <c r="J78" s="19">
        <v>0</v>
      </c>
      <c r="K78" s="16"/>
      <c r="M78" s="29"/>
      <c r="P78" s="18">
        <f>SUM(D78:J78)</f>
        <v>0</v>
      </c>
    </row>
    <row r="79" spans="1:18" x14ac:dyDescent="0.25">
      <c r="A79" s="3" t="s">
        <v>70</v>
      </c>
      <c r="B79" s="52">
        <v>4000000</v>
      </c>
      <c r="C79" s="52"/>
      <c r="D79" s="19">
        <f>SUM(D80:D81)</f>
        <v>0</v>
      </c>
      <c r="E79" s="19">
        <v>0</v>
      </c>
      <c r="F79" s="19">
        <f>+F80+F81</f>
        <v>66116</v>
      </c>
      <c r="G79" s="23">
        <f>+G80+G81</f>
        <v>0</v>
      </c>
      <c r="H79" s="23">
        <f>+H80+H81</f>
        <v>0</v>
      </c>
      <c r="I79" s="19">
        <f>+I80+I81</f>
        <v>23003</v>
      </c>
      <c r="J79" s="19">
        <f>SUM(J80+J81)</f>
        <v>9029212</v>
      </c>
      <c r="K79" s="19">
        <f t="shared" ref="K79:M79" si="25">SUM(K80+K81)</f>
        <v>0</v>
      </c>
      <c r="L79" s="19">
        <f t="shared" si="25"/>
        <v>0</v>
      </c>
      <c r="M79" s="30">
        <f t="shared" si="25"/>
        <v>6810162</v>
      </c>
      <c r="P79" s="66">
        <f>SUM(P80+P81)</f>
        <v>15928493</v>
      </c>
    </row>
    <row r="80" spans="1:18" x14ac:dyDescent="0.25">
      <c r="A80" s="24" t="s">
        <v>71</v>
      </c>
      <c r="B80" s="49">
        <v>4000000</v>
      </c>
      <c r="C80" s="49"/>
      <c r="D80" s="18">
        <v>0</v>
      </c>
      <c r="E80" s="19">
        <v>0</v>
      </c>
      <c r="F80" s="27">
        <v>66116</v>
      </c>
      <c r="G80" s="19">
        <v>0</v>
      </c>
      <c r="H80" s="19">
        <v>0</v>
      </c>
      <c r="I80" s="27">
        <v>23003</v>
      </c>
      <c r="J80" s="27">
        <v>9029212</v>
      </c>
      <c r="K80" s="16"/>
      <c r="M80" s="29">
        <v>6810162</v>
      </c>
      <c r="P80" s="29">
        <f>SUM(D80:M80)</f>
        <v>15928493</v>
      </c>
    </row>
    <row r="81" spans="1:33" x14ac:dyDescent="0.25">
      <c r="A81" s="24" t="s">
        <v>72</v>
      </c>
      <c r="B81" s="48">
        <v>0</v>
      </c>
      <c r="C81" s="48"/>
      <c r="D81" s="18">
        <v>0</v>
      </c>
      <c r="E81" s="19">
        <v>0</v>
      </c>
      <c r="F81" s="19">
        <v>0</v>
      </c>
      <c r="G81" s="19">
        <v>0</v>
      </c>
      <c r="H81" s="19">
        <v>0</v>
      </c>
      <c r="I81" s="19">
        <v>0</v>
      </c>
      <c r="J81" s="18">
        <v>0</v>
      </c>
      <c r="K81" s="16"/>
      <c r="M81" s="29"/>
      <c r="P81" s="18">
        <f>SUM(D81:J81)</f>
        <v>0</v>
      </c>
    </row>
    <row r="82" spans="1:33" x14ac:dyDescent="0.25">
      <c r="A82" s="3" t="s">
        <v>73</v>
      </c>
      <c r="B82" s="48">
        <v>0</v>
      </c>
      <c r="C82" s="48"/>
      <c r="D82" s="19">
        <v>0</v>
      </c>
      <c r="E82" s="19">
        <f t="shared" ref="E82:O82" si="26">+E83</f>
        <v>0</v>
      </c>
      <c r="F82" s="19">
        <f t="shared" si="26"/>
        <v>0</v>
      </c>
      <c r="G82" s="19">
        <f t="shared" si="26"/>
        <v>0</v>
      </c>
      <c r="H82" s="19">
        <f t="shared" si="26"/>
        <v>0</v>
      </c>
      <c r="I82" s="19">
        <f t="shared" si="26"/>
        <v>0</v>
      </c>
      <c r="J82" s="18">
        <f>+J83</f>
        <v>0</v>
      </c>
      <c r="K82" s="19">
        <f t="shared" si="26"/>
        <v>0</v>
      </c>
      <c r="L82" s="19">
        <f t="shared" si="26"/>
        <v>0</v>
      </c>
      <c r="M82" s="72">
        <f t="shared" si="26"/>
        <v>0</v>
      </c>
      <c r="N82" s="19">
        <f t="shared" si="26"/>
        <v>0</v>
      </c>
      <c r="O82" s="19">
        <f t="shared" si="26"/>
        <v>0</v>
      </c>
      <c r="P82" s="19">
        <f>+P83</f>
        <v>0</v>
      </c>
    </row>
    <row r="83" spans="1:33" x14ac:dyDescent="0.25">
      <c r="A83" s="24" t="s">
        <v>74</v>
      </c>
      <c r="B83" s="48">
        <v>0</v>
      </c>
      <c r="C83" s="48"/>
      <c r="D83" s="18">
        <v>0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8">
        <v>0</v>
      </c>
      <c r="M83" s="29"/>
      <c r="P83" s="18">
        <f t="shared" ref="P83" si="27">SUM(Q83:AB83)</f>
        <v>0</v>
      </c>
    </row>
    <row r="84" spans="1:33" x14ac:dyDescent="0.25">
      <c r="A84" s="6" t="s">
        <v>75</v>
      </c>
      <c r="B84" s="5">
        <v>4000000</v>
      </c>
      <c r="C84" s="5"/>
      <c r="D84" s="20">
        <f>+D76+D79+D82</f>
        <v>0</v>
      </c>
      <c r="E84" s="33">
        <f t="shared" ref="E84:K84" si="28">SUM(E77+E79+E82)</f>
        <v>0</v>
      </c>
      <c r="F84" s="20">
        <f>SUM(F77+F79+F82)</f>
        <v>66116</v>
      </c>
      <c r="G84" s="20">
        <f t="shared" si="28"/>
        <v>12998400</v>
      </c>
      <c r="H84" s="20">
        <f t="shared" si="28"/>
        <v>31722972</v>
      </c>
      <c r="I84" s="20">
        <f t="shared" si="28"/>
        <v>23003</v>
      </c>
      <c r="J84" s="20">
        <f>SUM(J77+J79+J82)</f>
        <v>91819393</v>
      </c>
      <c r="K84" s="20">
        <f t="shared" si="28"/>
        <v>42203692</v>
      </c>
      <c r="L84" s="20">
        <f>SUM(L77+L79+L82)</f>
        <v>13729135</v>
      </c>
      <c r="M84" s="20">
        <f>SUM(M77+M79+M82)</f>
        <v>6810162</v>
      </c>
      <c r="N84" s="5"/>
      <c r="O84" s="5"/>
      <c r="P84" s="20">
        <f>+P75+P82</f>
        <v>199372873</v>
      </c>
    </row>
    <row r="85" spans="1:33" x14ac:dyDescent="0.25">
      <c r="B85" s="53"/>
      <c r="C85" s="53"/>
      <c r="H85"/>
      <c r="M85" s="29"/>
    </row>
    <row r="86" spans="1:33" ht="15.75" x14ac:dyDescent="0.25">
      <c r="A86" s="7" t="s">
        <v>76</v>
      </c>
      <c r="B86" s="54">
        <v>1820138804</v>
      </c>
      <c r="C86" s="54"/>
      <c r="D86" s="21">
        <f>+D73+D84</f>
        <v>96080343</v>
      </c>
      <c r="E86" s="21">
        <f t="shared" ref="E86:J86" si="29">+E73+E84</f>
        <v>113957739</v>
      </c>
      <c r="F86" s="21">
        <f t="shared" si="29"/>
        <v>150789955</v>
      </c>
      <c r="G86" s="21">
        <f t="shared" si="29"/>
        <v>148813901</v>
      </c>
      <c r="H86" s="21">
        <f t="shared" si="29"/>
        <v>175587785</v>
      </c>
      <c r="I86" s="21">
        <f t="shared" si="29"/>
        <v>150066576</v>
      </c>
      <c r="J86" s="21">
        <f t="shared" si="29"/>
        <v>243054652</v>
      </c>
      <c r="K86" s="21">
        <f>+K73+K84+1</f>
        <v>160241540</v>
      </c>
      <c r="L86" s="21">
        <f>+L73+L84</f>
        <v>151363379</v>
      </c>
      <c r="M86" s="21">
        <f>+M73+M84</f>
        <v>128833517</v>
      </c>
      <c r="N86" s="8"/>
      <c r="O86" s="8"/>
      <c r="P86" s="21">
        <f>+P73+P84+2+1</f>
        <v>1518789389</v>
      </c>
    </row>
    <row r="87" spans="1:33" x14ac:dyDescent="0.25">
      <c r="A87" t="s">
        <v>89</v>
      </c>
      <c r="P87" s="29"/>
    </row>
    <row r="88" spans="1:33" x14ac:dyDescent="0.25">
      <c r="A88" t="s">
        <v>91</v>
      </c>
      <c r="E88" s="13"/>
      <c r="G88" s="13"/>
      <c r="P88" s="65"/>
    </row>
    <row r="89" spans="1:33" x14ac:dyDescent="0.25">
      <c r="A89" t="s">
        <v>88</v>
      </c>
      <c r="E89" s="13"/>
    </row>
    <row r="90" spans="1:33" x14ac:dyDescent="0.25">
      <c r="E90" s="13"/>
    </row>
    <row r="91" spans="1:33" x14ac:dyDescent="0.25">
      <c r="B91" s="22"/>
      <c r="C91" s="22"/>
    </row>
    <row r="92" spans="1:33" x14ac:dyDescent="0.25">
      <c r="A92" s="42"/>
      <c r="B92" s="43"/>
      <c r="C92" s="43"/>
      <c r="D92" s="42"/>
      <c r="E92" s="43"/>
      <c r="F92" s="42"/>
      <c r="G92" s="43"/>
      <c r="H92" s="42"/>
      <c r="I92" s="43"/>
      <c r="J92" s="42"/>
      <c r="K92" s="43"/>
      <c r="L92" s="42"/>
      <c r="M92" s="43"/>
      <c r="N92" s="42"/>
      <c r="O92" s="43"/>
      <c r="P92" s="42"/>
      <c r="Q92" s="43"/>
      <c r="R92" s="42"/>
      <c r="S92" s="43"/>
      <c r="T92" s="42"/>
      <c r="U92" s="43"/>
      <c r="V92" s="42"/>
      <c r="W92" s="43"/>
      <c r="X92" s="42"/>
      <c r="Y92" s="43"/>
      <c r="Z92" s="42"/>
      <c r="AA92" s="43"/>
      <c r="AB92" s="42"/>
      <c r="AC92" s="43"/>
      <c r="AD92" s="42"/>
      <c r="AE92" s="43"/>
      <c r="AF92" s="42"/>
      <c r="AG92" s="43"/>
    </row>
    <row r="93" spans="1:33" x14ac:dyDescent="0.25">
      <c r="A93" s="46" t="s">
        <v>97</v>
      </c>
      <c r="B93" s="46"/>
      <c r="C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  <c r="AA93" s="46"/>
      <c r="AB93" s="46"/>
      <c r="AC93" s="46"/>
      <c r="AD93" s="46"/>
      <c r="AE93" s="46"/>
      <c r="AF93" s="46"/>
      <c r="AG93" s="46"/>
    </row>
    <row r="94" spans="1:33" x14ac:dyDescent="0.25">
      <c r="A94" s="46" t="s">
        <v>99</v>
      </c>
      <c r="B94" s="46"/>
      <c r="C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  <c r="AA94" s="46"/>
      <c r="AB94" s="46"/>
      <c r="AC94" s="46"/>
      <c r="AD94" s="46"/>
      <c r="AE94" s="46"/>
      <c r="AF94" s="46"/>
      <c r="AG94" s="46"/>
    </row>
    <row r="96" spans="1:33" x14ac:dyDescent="0.25">
      <c r="A96" s="37"/>
    </row>
    <row r="97" spans="1:11" x14ac:dyDescent="0.25">
      <c r="A97" s="39"/>
      <c r="B97" s="39"/>
      <c r="C97" s="39"/>
      <c r="D97" s="40"/>
      <c r="E97" s="39"/>
      <c r="F97" s="39"/>
      <c r="G97" s="39"/>
      <c r="H97" s="39"/>
      <c r="I97" s="41"/>
      <c r="J97" s="39"/>
      <c r="K97" s="39"/>
    </row>
    <row r="98" spans="1:11" x14ac:dyDescent="0.25">
      <c r="A98" s="39"/>
      <c r="B98" s="39"/>
      <c r="C98" s="39"/>
      <c r="D98" s="40"/>
      <c r="E98" s="39"/>
      <c r="F98" s="39"/>
      <c r="G98" s="39"/>
      <c r="H98" s="39"/>
      <c r="I98" s="41"/>
      <c r="J98" s="39"/>
      <c r="K98" s="39"/>
    </row>
    <row r="99" spans="1:11" ht="17.25" x14ac:dyDescent="0.4">
      <c r="A99" s="39"/>
      <c r="B99" s="42"/>
      <c r="C99" s="42"/>
      <c r="D99" s="43"/>
      <c r="E99" s="42"/>
      <c r="F99" s="39"/>
      <c r="G99" s="39"/>
      <c r="H99" s="39"/>
      <c r="I99" s="41"/>
      <c r="J99" s="73"/>
      <c r="K99" s="73"/>
    </row>
    <row r="100" spans="1:11" x14ac:dyDescent="0.25">
      <c r="A100" s="39"/>
      <c r="B100" s="74"/>
      <c r="C100" s="74"/>
      <c r="D100" s="74"/>
      <c r="E100" s="74"/>
      <c r="F100" s="39"/>
      <c r="G100" s="39"/>
      <c r="H100" s="39"/>
      <c r="I100" s="41"/>
      <c r="J100" s="39"/>
      <c r="K100" s="39"/>
    </row>
    <row r="101" spans="1:11" x14ac:dyDescent="0.25">
      <c r="A101" s="42"/>
      <c r="B101" s="43"/>
      <c r="C101" s="43"/>
      <c r="D101" s="42"/>
      <c r="E101" s="39"/>
      <c r="F101" s="39"/>
      <c r="G101" s="39"/>
      <c r="H101" s="39"/>
      <c r="I101" s="41"/>
      <c r="J101" s="39"/>
      <c r="K101" s="39"/>
    </row>
  </sheetData>
  <mergeCells count="7">
    <mergeCell ref="J99:K99"/>
    <mergeCell ref="B100:E100"/>
    <mergeCell ref="A5:P5"/>
    <mergeCell ref="A1:P1"/>
    <mergeCell ref="A2:P2"/>
    <mergeCell ref="A3:P3"/>
    <mergeCell ref="A4:P4"/>
  </mergeCells>
  <pageMargins left="0.7" right="0.7" top="0.75" bottom="0.75" header="0.3" footer="0.3"/>
  <pageSetup paperSize="258" scale="31" fitToHeight="0" orientation="landscape" r:id="rId1"/>
  <ignoredErrors>
    <ignoredError sqref="G42" formula="1"/>
    <ignoredError sqref="E61:E71 D69 F61:H61 F69:H69 E76 D7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Ejecución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Elvidami</cp:lastModifiedBy>
  <cp:lastPrinted>2021-11-18T18:43:37Z</cp:lastPrinted>
  <dcterms:created xsi:type="dcterms:W3CDTF">2018-04-17T18:57:16Z</dcterms:created>
  <dcterms:modified xsi:type="dcterms:W3CDTF">2021-11-18T18:43:46Z</dcterms:modified>
</cp:coreProperties>
</file>