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lvidami\Desktop\"/>
    </mc:Choice>
  </mc:AlternateContent>
  <bookViews>
    <workbookView xWindow="0" yWindow="0" windowWidth="28800" windowHeight="12450"/>
  </bookViews>
  <sheets>
    <sheet name="Plantilla Ejecución " sheetId="3" r:id="rId1"/>
    <sheet name="Hoja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3" l="1"/>
  <c r="H42" i="3"/>
  <c r="I22" i="3"/>
  <c r="I15" i="3"/>
  <c r="I9" i="3"/>
  <c r="I13" i="3"/>
  <c r="I11" i="3"/>
  <c r="I10" i="3"/>
  <c r="I21" i="3"/>
  <c r="I51" i="3"/>
  <c r="I33" i="3"/>
  <c r="I31" i="3"/>
  <c r="I30" i="3"/>
  <c r="I29" i="3"/>
  <c r="I27" i="3"/>
  <c r="I25" i="3"/>
  <c r="I19" i="3"/>
  <c r="I18" i="3"/>
  <c r="I17" i="3"/>
  <c r="I12" i="3"/>
  <c r="O12" i="3" s="1"/>
  <c r="O52" i="3"/>
  <c r="O53" i="3"/>
  <c r="O54" i="3"/>
  <c r="O56" i="3"/>
  <c r="O57" i="3"/>
  <c r="O58" i="3"/>
  <c r="O59" i="3"/>
  <c r="O80" i="3"/>
  <c r="O79" i="3"/>
  <c r="O77" i="3"/>
  <c r="O76" i="3"/>
  <c r="O62" i="3"/>
  <c r="O63" i="3"/>
  <c r="O64" i="3"/>
  <c r="O61" i="3"/>
  <c r="O44" i="3"/>
  <c r="O45" i="3"/>
  <c r="O46" i="3"/>
  <c r="O47" i="3"/>
  <c r="O48" i="3"/>
  <c r="O49" i="3"/>
  <c r="O43" i="3"/>
  <c r="O36" i="3"/>
  <c r="O37" i="3"/>
  <c r="O38" i="3"/>
  <c r="O39" i="3"/>
  <c r="O40" i="3"/>
  <c r="O41" i="3"/>
  <c r="O35" i="3"/>
  <c r="O28" i="3"/>
  <c r="O32" i="3"/>
  <c r="O82" i="3"/>
  <c r="O81" i="3" s="1"/>
  <c r="O75" i="3"/>
  <c r="O71" i="3"/>
  <c r="O70" i="3"/>
  <c r="O69" i="3"/>
  <c r="O68" i="3"/>
  <c r="O67" i="3"/>
  <c r="O66" i="3"/>
  <c r="O65" i="3"/>
  <c r="O78" i="3" l="1"/>
  <c r="O74" i="3" s="1"/>
  <c r="O83" i="3" s="1"/>
  <c r="O60" i="3"/>
  <c r="O42" i="3"/>
  <c r="O34" i="3"/>
  <c r="H15" i="3"/>
  <c r="H13" i="3"/>
  <c r="H11" i="3"/>
  <c r="H9" i="3"/>
  <c r="H10" i="3"/>
  <c r="H33" i="3"/>
  <c r="H31" i="3"/>
  <c r="H30" i="3"/>
  <c r="H29" i="3"/>
  <c r="H27" i="3"/>
  <c r="H25" i="3"/>
  <c r="H22" i="3"/>
  <c r="H19" i="3"/>
  <c r="H17" i="3"/>
  <c r="H16" i="3"/>
  <c r="F18" i="3" l="1"/>
  <c r="C9" i="3" l="1"/>
  <c r="H68" i="3" l="1"/>
  <c r="G68" i="3"/>
  <c r="F68" i="3"/>
  <c r="E68" i="3"/>
  <c r="D68" i="3"/>
  <c r="G33" i="3"/>
  <c r="G31" i="3"/>
  <c r="G30" i="3"/>
  <c r="G17" i="3"/>
  <c r="G15" i="3"/>
  <c r="G13" i="3"/>
  <c r="G10" i="3"/>
  <c r="G9" i="3"/>
  <c r="G51" i="3"/>
  <c r="G29" i="3"/>
  <c r="G27" i="3"/>
  <c r="G26" i="3"/>
  <c r="G25" i="3"/>
  <c r="G21" i="3"/>
  <c r="G19" i="3"/>
  <c r="G16" i="3"/>
  <c r="G18" i="3"/>
  <c r="G22" i="3"/>
  <c r="E19" i="4"/>
  <c r="G34" i="3"/>
  <c r="G14" i="3" l="1"/>
  <c r="C23" i="3" l="1"/>
  <c r="C33" i="3"/>
  <c r="AG23" i="3" l="1"/>
  <c r="F34" i="3"/>
  <c r="F33" i="3"/>
  <c r="F25" i="3"/>
  <c r="F21" i="3"/>
  <c r="F15" i="3"/>
  <c r="F17" i="3"/>
  <c r="F13" i="3"/>
  <c r="F11" i="3"/>
  <c r="F10" i="3"/>
  <c r="F9" i="3"/>
  <c r="F55" i="3"/>
  <c r="O55" i="3" s="1"/>
  <c r="F31" i="3"/>
  <c r="F30" i="3"/>
  <c r="F29" i="3"/>
  <c r="F27" i="3"/>
  <c r="F26" i="3"/>
  <c r="F23" i="3"/>
  <c r="F16" i="3"/>
  <c r="F20" i="3"/>
  <c r="O20" i="3" s="1"/>
  <c r="F51" i="3"/>
  <c r="F22" i="3"/>
  <c r="F14" i="3" l="1"/>
  <c r="E31" i="3"/>
  <c r="E18" i="3"/>
  <c r="E16" i="3"/>
  <c r="E15" i="3"/>
  <c r="E13" i="3"/>
  <c r="E11" i="3"/>
  <c r="E10" i="3"/>
  <c r="E9" i="3"/>
  <c r="E51" i="3"/>
  <c r="E33" i="3"/>
  <c r="E30" i="3"/>
  <c r="E29" i="3"/>
  <c r="E26" i="3"/>
  <c r="E25" i="3"/>
  <c r="E21" i="3"/>
  <c r="E19" i="3"/>
  <c r="E17" i="3"/>
  <c r="E23" i="3"/>
  <c r="O23" i="3" s="1"/>
  <c r="E22" i="3"/>
  <c r="E50" i="3" l="1"/>
  <c r="D10" i="3" l="1"/>
  <c r="E17" i="4"/>
  <c r="D33" i="3"/>
  <c r="O33" i="3" s="1"/>
  <c r="D31" i="3"/>
  <c r="D30" i="3"/>
  <c r="D26" i="3"/>
  <c r="O26" i="3" s="1"/>
  <c r="D25" i="3"/>
  <c r="D21" i="3"/>
  <c r="D17" i="3"/>
  <c r="O17" i="3" s="1"/>
  <c r="D15" i="3"/>
  <c r="D13" i="3"/>
  <c r="D9" i="3"/>
  <c r="O9" i="3" s="1"/>
  <c r="D16" i="3" l="1"/>
  <c r="O16" i="3" s="1"/>
  <c r="D18" i="3"/>
  <c r="D19" i="3"/>
  <c r="O19" i="3" s="1"/>
  <c r="D51" i="3"/>
  <c r="D29" i="3"/>
  <c r="D27" i="3"/>
  <c r="D22" i="3"/>
  <c r="C65" i="3" l="1"/>
  <c r="C68" i="3"/>
  <c r="C13" i="3"/>
  <c r="O13" i="3" s="1"/>
  <c r="C11" i="3"/>
  <c r="O11" i="3" s="1"/>
  <c r="C10" i="3"/>
  <c r="O10" i="3" s="1"/>
  <c r="O8" i="3" s="1"/>
  <c r="C30" i="3"/>
  <c r="O30" i="3" s="1"/>
  <c r="C25" i="3"/>
  <c r="O25" i="3" s="1"/>
  <c r="O24" i="3" s="1"/>
  <c r="C15" i="3"/>
  <c r="O15" i="3" s="1"/>
  <c r="C21" i="3"/>
  <c r="O21" i="3" s="1"/>
  <c r="C51" i="3"/>
  <c r="O51" i="3" s="1"/>
  <c r="O50" i="3" s="1"/>
  <c r="C31" i="3"/>
  <c r="O31" i="3" s="1"/>
  <c r="C29" i="3"/>
  <c r="O29" i="3" s="1"/>
  <c r="C27" i="3"/>
  <c r="O27" i="3" s="1"/>
  <c r="C22" i="3"/>
  <c r="O22" i="3" s="1"/>
  <c r="C18" i="3" l="1"/>
  <c r="O18" i="3" s="1"/>
  <c r="O14" i="3" s="1"/>
  <c r="O7" i="3" l="1"/>
  <c r="O72" i="3"/>
  <c r="O85" i="3" s="1"/>
  <c r="C14" i="3"/>
  <c r="F75" i="3"/>
  <c r="C78" i="3"/>
  <c r="C60" i="3"/>
  <c r="E8" i="4"/>
  <c r="B6" i="4"/>
  <c r="J8" i="3"/>
  <c r="J60" i="3"/>
  <c r="J50" i="3"/>
  <c r="J34" i="3"/>
  <c r="J24" i="3"/>
  <c r="J14" i="3"/>
  <c r="J75" i="3"/>
  <c r="I8" i="3"/>
  <c r="I78" i="3"/>
  <c r="I75" i="3"/>
  <c r="H14" i="3"/>
  <c r="G78" i="3"/>
  <c r="H78" i="3"/>
  <c r="F78" i="3"/>
  <c r="E78" i="3"/>
  <c r="H75" i="3"/>
  <c r="G50" i="3"/>
  <c r="G42" i="3"/>
  <c r="G75" i="3"/>
  <c r="N81" i="3"/>
  <c r="M81" i="3"/>
  <c r="L81" i="3"/>
  <c r="K81" i="3"/>
  <c r="J81" i="3"/>
  <c r="J83" i="3" s="1"/>
  <c r="H81" i="3"/>
  <c r="G81" i="3"/>
  <c r="F81" i="3"/>
  <c r="E81" i="3"/>
  <c r="D81" i="3"/>
  <c r="F24" i="3"/>
  <c r="F50" i="3"/>
  <c r="F60" i="3"/>
  <c r="F42" i="3"/>
  <c r="E75" i="3"/>
  <c r="F83" i="3" l="1"/>
  <c r="H83" i="3"/>
  <c r="C74" i="3"/>
  <c r="C83" i="3"/>
  <c r="G83" i="3"/>
  <c r="H74" i="3"/>
  <c r="I83" i="3"/>
  <c r="I74" i="3"/>
  <c r="H8" i="3"/>
  <c r="F74" i="3"/>
  <c r="F8" i="3"/>
  <c r="F72" i="3" l="1"/>
  <c r="F7" i="3"/>
  <c r="F85" i="3" l="1"/>
  <c r="E83" i="3"/>
  <c r="E74" i="3"/>
  <c r="I14" i="3"/>
  <c r="K14" i="3"/>
  <c r="L14" i="3"/>
  <c r="M14" i="3"/>
  <c r="N14" i="3"/>
  <c r="G24" i="3"/>
  <c r="H24" i="3"/>
  <c r="I24" i="3"/>
  <c r="K24" i="3"/>
  <c r="L24" i="3"/>
  <c r="M24" i="3"/>
  <c r="N24" i="3"/>
  <c r="E34" i="3"/>
  <c r="H34" i="3"/>
  <c r="I34" i="3"/>
  <c r="K34" i="3"/>
  <c r="L34" i="3"/>
  <c r="M34" i="3"/>
  <c r="N34" i="3"/>
  <c r="E42" i="3"/>
  <c r="I42" i="3"/>
  <c r="J42" i="3"/>
  <c r="K42" i="3"/>
  <c r="L42" i="3"/>
  <c r="M42" i="3"/>
  <c r="N42" i="3"/>
  <c r="E60" i="3"/>
  <c r="G60" i="3"/>
  <c r="H60" i="3"/>
  <c r="I60" i="3"/>
  <c r="K60" i="3"/>
  <c r="L60" i="3"/>
  <c r="M60" i="3"/>
  <c r="N60" i="3"/>
  <c r="K50" i="3"/>
  <c r="L50" i="3"/>
  <c r="M50" i="3"/>
  <c r="N50" i="3"/>
  <c r="H50" i="3"/>
  <c r="I50" i="3"/>
  <c r="D60" i="3"/>
  <c r="D75" i="3"/>
  <c r="D74" i="3" s="1"/>
  <c r="I7" i="3" l="1"/>
  <c r="E4" i="4" s="1"/>
  <c r="E16" i="4" s="1"/>
  <c r="J7" i="3"/>
  <c r="E24" i="3"/>
  <c r="E8" i="3"/>
  <c r="D42" i="3"/>
  <c r="D83" i="3"/>
  <c r="D50" i="3"/>
  <c r="D34" i="3"/>
  <c r="B3" i="4" l="1"/>
  <c r="B10" i="4" s="1"/>
  <c r="D24" i="3"/>
  <c r="D8" i="3"/>
  <c r="D14" i="3"/>
  <c r="N8" i="3"/>
  <c r="M8" i="3"/>
  <c r="L8" i="3"/>
  <c r="K8" i="3"/>
  <c r="K72" i="3" s="1"/>
  <c r="H72" i="3"/>
  <c r="H85" i="3" s="1"/>
  <c r="G8" i="3"/>
  <c r="C8" i="3"/>
  <c r="G72" i="3" l="1"/>
  <c r="G85" i="3" s="1"/>
  <c r="D7" i="3"/>
  <c r="D72" i="3"/>
  <c r="D85" i="3" s="1"/>
  <c r="K7" i="3"/>
  <c r="B11" i="4"/>
  <c r="G7" i="3"/>
  <c r="H7" i="3"/>
  <c r="N7" i="3"/>
  <c r="N72" i="3"/>
  <c r="M7" i="3"/>
  <c r="M72" i="3"/>
  <c r="L7" i="3"/>
  <c r="L72" i="3"/>
  <c r="J72" i="3"/>
  <c r="J85" i="3" s="1"/>
  <c r="I72" i="3"/>
  <c r="I85" i="3" s="1"/>
  <c r="C42" i="3"/>
  <c r="C34" i="3"/>
  <c r="E18" i="4" l="1"/>
  <c r="C24" i="3"/>
  <c r="C50" i="3"/>
  <c r="C72" i="3" l="1"/>
  <c r="C85" i="3" s="1"/>
  <c r="C7" i="3"/>
  <c r="E14" i="3" l="1"/>
  <c r="E7" i="3" s="1"/>
  <c r="E10" i="4" s="1"/>
  <c r="E72" i="3" l="1"/>
  <c r="E85" i="3" s="1"/>
  <c r="G74" i="3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<sst xmlns="http://schemas.openxmlformats.org/spreadsheetml/2006/main" count="105" uniqueCount="105">
  <si>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</si>
  <si>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</si>
  <si>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</si>
  <si>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</si>
  <si>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</si>
  <si>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</si>
  <si>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</si>
  <si>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</si>
  <si>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</si>
  <si>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</si>
  <si>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</si>
  <si>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</si>
  <si>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</si>
  <si>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</si>
  <si>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</si>
  <si>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</si>
  <si>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</si>
  <si>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</si>
  <si>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</si>
  <si>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</si>
  <si>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</si>
  <si>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</si>
  <si>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</si>
  <si>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</si>
  <si>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</si>
  <si>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</si>
  <si>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</si>
  <si>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</si>
  <si>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</si>
  <si>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</si>
  <si>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</si>
  <si>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</si>
  <si>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</si>
  <si>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</si>
  <si>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</si>
  <si>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</si>
  <si>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</si>
  <si>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</si>
  <si>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</si>
  <si>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</si>
  <si>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</si>
  <si>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</si>
  <si>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</si>
  <si>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</si>
  <si>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</si>
  <si>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</si>
  <si>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</si>
  <si>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</si>
  <si>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</si>
  <si>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</si>
  <si>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</si>
  <si>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</si>
  <si>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</si>
  <si>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</si>
  <si>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</si>
  <si>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</si>
  <si>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</si>
  <si>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</si>
  <si>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</si>
  <si>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</si>
  <si>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</si>
  <si>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</si>
  <si>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</si>
  <si>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</si>
  <si>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</si>
  <si>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</si>
  <si>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</si>
  <si>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</si>
  <si>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</si>
  <si>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</si>
  <si>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</si>
  <si>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</si>
  <si>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</si>
  <si>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</si>
  <si>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</si>
  <si>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</si>
  <si>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</si>
  <si>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</si>
  <si>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</si>
  <si>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</si>
  <si>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</si>
  <si>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</si>
  <si>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</si>
  <si>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</si>
  <si>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</si>
  <si>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</si>
  <si>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</si>
  <si>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</si>
  <si>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imputación: hasta el [día] de [mes] del [año]</t>
  </si>
  <si>
    <t>Fuente: [fuente]</t>
  </si>
  <si>
    <t xml:space="preserve">Ejecución de Gastos y Aplicaciones Financieras </t>
  </si>
  <si>
    <t xml:space="preserve">Total </t>
  </si>
  <si>
    <t>VALOR DE LA PAGINA DE LA EJECUCION</t>
  </si>
  <si>
    <t>VALOR E4</t>
  </si>
  <si>
    <t>Gral</t>
  </si>
  <si>
    <t>Presupuesto 2020</t>
  </si>
  <si>
    <t>Fecha de registro: hasta el [31] de [01] del [2021]</t>
  </si>
  <si>
    <t>Marzo</t>
  </si>
  <si>
    <t>dism pasivos</t>
  </si>
  <si>
    <t>2.6.2 - MOBILIARIO Y EQUIPO AUDIOVISUAL, Y RECREATIVO EDUCACIONAL</t>
  </si>
  <si>
    <t xml:space="preserve">2.6.7 - ACTIVOS BIÓLOGICOS </t>
  </si>
  <si>
    <t>Presupuesto</t>
  </si>
  <si>
    <t>aplicaciones</t>
  </si>
  <si>
    <t>incremento</t>
  </si>
  <si>
    <t xml:space="preserve">                                                                                                                                 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</si>
</sst>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(* #,##0_);_(* \(#,##0\);_(* &quot;-&quot;??_);_(@_)"/>
    <numFmt numFmtId="167" formatCode="#,##0.00;[Red]#,##0.00"/>
    <numFmt numFmtId="168" formatCode="#,##0;[Red]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6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166" fontId="1" fillId="0" borderId="0" xfId="0" applyNumberFormat="1" applyFont="1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/>
    <xf numFmtId="164" fontId="2" fillId="0" borderId="0" xfId="1" applyNumberFormat="1" applyFont="1"/>
    <xf numFmtId="164" fontId="1" fillId="0" borderId="0" xfId="1" applyNumberFormat="1" applyFont="1" applyAlignment="1">
      <alignment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0" xfId="1" applyNumberFormat="1" applyFont="1"/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wrapText="1" indent="2"/>
    </xf>
    <xf numFmtId="164" fontId="2" fillId="0" borderId="1" xfId="1" applyNumberFormat="1" applyFont="1" applyBorder="1" applyAlignment="1">
      <alignment horizontal="left" vertical="center" wrapText="1"/>
    </xf>
    <xf numFmtId="164" fontId="4" fillId="0" borderId="0" xfId="1" applyNumberFormat="1" applyFont="1" applyAlignment="1">
      <alignment vertical="center" wrapText="1"/>
    </xf>
    <xf numFmtId="0" fontId="1" fillId="0" borderId="0" xfId="0" applyFont="1"/>
    <xf numFmtId="3" fontId="0" fillId="0" borderId="0" xfId="0" applyNumberFormat="1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 wrapText="1"/>
    </xf>
    <xf numFmtId="166" fontId="1" fillId="2" borderId="2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7" fontId="0" fillId="0" borderId="0" xfId="0" applyNumberFormat="1"/>
    <xf numFmtId="167" fontId="2" fillId="0" borderId="0" xfId="0" applyNumberFormat="1" applyFont="1"/>
    <xf numFmtId="164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4" xfId="1" applyNumberFormat="1" applyFont="1" applyBorder="1" applyAlignment="1">
      <alignment vertical="center" wrapText="1"/>
    </xf>
    <xf numFmtId="0" fontId="0" fillId="0" borderId="0" xfId="0" applyAlignment="1"/>
    <xf numFmtId="164" fontId="0" fillId="0" borderId="0" xfId="0" applyNumberFormat="1" applyAlignment="1"/>
    <xf numFmtId="168" fontId="0" fillId="0" borderId="0" xfId="0" applyNumberFormat="1" applyAlignment="1"/>
    <xf numFmtId="0" fontId="7" fillId="0" borderId="0" xfId="0" applyFont="1" applyAlignment="1"/>
    <xf numFmtId="164" fontId="7" fillId="0" borderId="0" xfId="0" applyNumberFormat="1" applyFont="1" applyAlignment="1"/>
    <xf numFmtId="4" fontId="0" fillId="0" borderId="0" xfId="0" applyNumberFormat="1"/>
    <xf numFmtId="4" fontId="1" fillId="0" borderId="0" xfId="0" applyNumberFormat="1" applyFont="1"/>
    <xf numFmtId="164" fontId="5" fillId="0" borderId="0" xfId="0" applyNumberFormat="1" applyFont="1"/>
    <xf numFmtId="164" fontId="1" fillId="0" borderId="6" xfId="1" applyNumberFormat="1" applyFont="1" applyBorder="1" applyAlignment="1">
      <alignment vertical="center" wrapText="1"/>
    </xf>
    <xf numFmtId="0" fontId="1" fillId="0" borderId="0" xfId="0" applyFont="1" applyAlignment="1"/>
    <xf numFmtId="166" fontId="0" fillId="0" borderId="0" xfId="0" applyNumberFormat="1" applyAlignment="1">
      <alignment vertical="center" wrapText="1"/>
    </xf>
    <xf numFmtId="166" fontId="0" fillId="0" borderId="0" xfId="1" applyNumberFormat="1" applyFont="1"/>
    <xf numFmtId="166" fontId="1" fillId="0" borderId="0" xfId="1" applyNumberFormat="1" applyFont="1"/>
    <xf numFmtId="166" fontId="1" fillId="0" borderId="3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/>
    <xf numFmtId="166" fontId="1" fillId="3" borderId="2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/>
    <xf numFmtId="164" fontId="0" fillId="0" borderId="0" xfId="1" applyNumberFormat="1" applyFont="1" applyAlignment="1">
      <alignment horizontal="right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164" fontId="1" fillId="4" borderId="5" xfId="1" applyNumberFormat="1" applyFont="1" applyFill="1" applyBorder="1" applyAlignment="1">
      <alignment horizontal="right" vertical="center" wrapText="1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336185</xdr:colOff>
      <xdr:row>0</xdr:row>
      <xdr:rowOff>280149</xdr:rowOff>
    </xdr:from>
    <xdr:to>
      <xdr:col>0</xdr:col>
      <xdr:colOff>4778667</xdr:colOff>
      <xdr:row>3</xdr:row>
      <xdr:rowOff>145679</xdr:rowOff>
    </xdr:to>
    <xdr:pic>
      <xdr:nvPicPr>
        <xdr:cNvPr id="4" name="Picture 1" descr="http://www.cea.gob.do/images/Logos/Logo-del-portal%20500x110px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6185" y="280149"/>
          <a:ext cx="4442482" cy="91888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1322293</xdr:colOff>
      <xdr:row>90</xdr:row>
      <xdr:rowOff>168090</xdr:rowOff>
    </xdr:from>
    <xdr:to>
      <xdr:col>0</xdr:col>
      <xdr:colOff>4768789</xdr:colOff>
      <xdr:row>102</xdr:row>
      <xdr:rowOff>56032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293" y="18119914"/>
          <a:ext cx="3446496" cy="2207559"/>
        </a:xfrm>
        <a:prstGeom prst="rect">
          <a:avLst/>
        </a:prstGeom>
      </xdr:spPr>
    </xdr:pic>
    <xdr:clientData/>
  </xdr:twoCellAnchor>
  <xdr:twoCellAnchor editAs="oneCell">
    <xdr:from>
      <xdr:col>3</xdr:col>
      <xdr:colOff>123264</xdr:colOff>
      <xdr:row>89</xdr:row>
      <xdr:rowOff>56029</xdr:rowOff>
    </xdr:from>
    <xdr:to>
      <xdr:col>7</xdr:col>
      <xdr:colOff>520161</xdr:colOff>
      <xdr:row>99</xdr:row>
      <xdr:rowOff>22411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3823" y="17817353"/>
          <a:ext cx="4106044" cy="190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G100"/>
  <sheetViews>
    <sheetView showGridLines="0" tabSelected="1" zoomScale="85" zoomScaleNormal="85" workbookViewId="0">
      <selection activeCell="W82" sqref="W82"/>
    </sheetView>
  </sheetViews>
  <sheetFormatPr baseColWidth="10" defaultColWidth="9.140625" defaultRowHeight="15" x14ac:dyDescent="0.25"/>
  <cols>
    <col min="1" max="1" width="76.7109375" customWidth="1"/>
    <col min="2" max="2" width="17" style="15" customWidth="1"/>
    <col min="3" max="3" width="13.85546875" style="15" customWidth="1"/>
    <col min="4" max="4" width="13.7109375" customWidth="1"/>
    <col min="5" max="5" width="14" style="31" customWidth="1"/>
    <col min="6" max="6" width="13.85546875" customWidth="1"/>
    <col min="7" max="7" width="14.140625" style="15" customWidth="1"/>
    <col min="8" max="8" width="14" customWidth="1"/>
    <col min="9" max="9" width="13.42578125" customWidth="1"/>
    <col min="10" max="10" width="8.140625" hidden="1" customWidth="1"/>
    <col min="11" max="11" width="12.5703125" hidden="1" customWidth="1"/>
    <col min="12" max="12" width="9.28515625" hidden="1" customWidth="1"/>
    <col min="13" max="13" width="12.140625" hidden="1" customWidth="1"/>
    <col min="14" max="14" width="27" hidden="1" customWidth="1"/>
    <col min="15" max="15" width="14.5703125" customWidth="1"/>
    <col min="16" max="16" width="0.7109375" customWidth="1"/>
    <col min="17" max="17" width="14.140625" customWidth="1"/>
    <col min="18" max="18" width="6.5703125" customWidth="1"/>
    <col min="19" max="19" width="6.28515625" customWidth="1"/>
    <col min="20" max="20" width="7.85546875" customWidth="1"/>
    <col min="21" max="21" width="5.7109375" customWidth="1"/>
    <col min="22" max="22" width="10.42578125" customWidth="1"/>
    <col min="23" max="23" width="7" customWidth="1"/>
    <col min="24" max="24" width="5.85546875" customWidth="1"/>
    <col min="25" max="25" width="7" customWidth="1"/>
    <col min="26" max="26" width="14.85546875" customWidth="1"/>
    <col min="27" max="27" width="5.140625" customWidth="1"/>
    <col min="28" max="28" width="6.28515625" customWidth="1"/>
    <col min="29" max="29" width="5" customWidth="1"/>
    <col min="30" max="30" width="5.42578125" customWidth="1"/>
    <col min="31" max="31" width="2.85546875" customWidth="1"/>
    <col min="32" max="32" width="3.28515625" customWidth="1"/>
    <col min="33" max="33" width="7.5703125" customWidth="1"/>
    <col min="34" max="34" width="7" customWidth="1"/>
  </cols>
  <sheetData>
    <row r="1" spans="1:33" ht="33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9"/>
    </row>
    <row r="2" spans="1:33" ht="18.75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9"/>
    </row>
    <row r="3" spans="1:33" ht="31.5" customHeight="1" x14ac:dyDescent="0.25">
      <c r="A3" s="72" t="s">
        <v>90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9"/>
    </row>
    <row r="4" spans="1:33" ht="33" customHeight="1" x14ac:dyDescent="0.25">
      <c r="A4" s="73" t="s">
        <v>35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9"/>
    </row>
    <row r="5" spans="1:33" ht="22.5" customHeight="1" x14ac:dyDescent="0.25">
      <c r="A5" s="79" t="s">
        <v>104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9"/>
    </row>
    <row r="6" spans="1:33" ht="16.5" customHeight="1" x14ac:dyDescent="0.25">
      <c r="A6" s="74" t="s">
        <v>0</v>
      </c>
      <c r="B6" s="75" t="s">
        <v>101</v>
      </c>
      <c r="C6" s="76" t="s">
        <v>77</v>
      </c>
      <c r="D6" s="76" t="s">
        <v>78</v>
      </c>
      <c r="E6" s="76" t="s">
        <v>97</v>
      </c>
      <c r="F6" s="76" t="s">
        <v>79</v>
      </c>
      <c r="G6" s="76" t="s">
        <v>80</v>
      </c>
      <c r="H6" s="77" t="s">
        <v>81</v>
      </c>
      <c r="I6" s="77" t="s">
        <v>82</v>
      </c>
      <c r="J6" s="78" t="s">
        <v>83</v>
      </c>
      <c r="K6" s="78" t="s">
        <v>84</v>
      </c>
      <c r="L6" s="78" t="s">
        <v>85</v>
      </c>
      <c r="M6" s="78" t="s">
        <v>86</v>
      </c>
      <c r="N6" s="78" t="s">
        <v>87</v>
      </c>
      <c r="O6" s="76" t="s">
        <v>91</v>
      </c>
      <c r="Z6" s="12"/>
      <c r="AA6" s="12"/>
    </row>
    <row r="7" spans="1:33" ht="15.75" x14ac:dyDescent="0.25">
      <c r="A7" s="1" t="s">
        <v>1</v>
      </c>
      <c r="B7" s="64">
        <v>1816138804</v>
      </c>
      <c r="C7" s="43">
        <f>SUM(C8,C14,C24,C34,C42,C50,C60,C65,C68)</f>
        <v>96080343</v>
      </c>
      <c r="D7" s="43">
        <f>SUM(D8,D14,D24,D34,D42,D50,D60,D65,D68)</f>
        <v>113957739</v>
      </c>
      <c r="E7" s="43">
        <f>SUM(E8,E14,E24,E34,E42,E50,E60,E65,E68)</f>
        <v>150723839</v>
      </c>
      <c r="F7" s="43">
        <f>SUM(F8,F14,F24,F34,F42,F50,F60,F65,F68)</f>
        <v>135815501</v>
      </c>
      <c r="G7" s="43">
        <f t="shared" ref="G7:N7" si="0">SUM(G8,G14,G24,G34,G42,G50,G60,G65,G68)</f>
        <v>143864813</v>
      </c>
      <c r="H7" s="43">
        <f t="shared" si="0"/>
        <v>150043573</v>
      </c>
      <c r="I7" s="43">
        <f>SUM(I8,I14,I24,I34,I42,I50,I60,I65,I68)</f>
        <v>151235259</v>
      </c>
      <c r="J7" s="28">
        <f>SUM(J8,J14,J24,J34,J42,J50,J60,J65,J68)</f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28">
        <f t="shared" si="0"/>
        <v>0</v>
      </c>
      <c r="O7" s="64">
        <f>SUM(O8,O14,O24,O34,O42,O50,O60)</f>
        <v>941721067</v>
      </c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33" x14ac:dyDescent="0.25">
      <c r="A8" s="3" t="s">
        <v>2</v>
      </c>
      <c r="B8" s="65">
        <v>892044540</v>
      </c>
      <c r="C8" s="17">
        <f>+C9+C10+C11+C12+C13</f>
        <v>69507867</v>
      </c>
      <c r="D8" s="17">
        <f>+D9+D10+D11+D12+D13</f>
        <v>71114357</v>
      </c>
      <c r="E8" s="17">
        <f>+E9+E10+E11+E12+E13</f>
        <v>85803326</v>
      </c>
      <c r="F8" s="17">
        <f>+F9+F10+F11+F12+F13</f>
        <v>61361855</v>
      </c>
      <c r="G8" s="17">
        <f t="shared" ref="G8:N8" si="1">+G9+G10+G11+G12+G13</f>
        <v>46070698</v>
      </c>
      <c r="H8" s="17">
        <f>+H9+H10+H11+H12+H13</f>
        <v>72692368</v>
      </c>
      <c r="I8" s="17">
        <f>+I9+I10+I11+I12+I13</f>
        <v>76283649</v>
      </c>
      <c r="J8" s="17">
        <f>+J9+J10+J11+J12+J13</f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65">
        <f>+O9+O10+O11+O12+O13</f>
        <v>482834120</v>
      </c>
      <c r="R8" s="11"/>
      <c r="AF8" s="24"/>
    </row>
    <row r="9" spans="1:33" x14ac:dyDescent="0.25">
      <c r="A9" s="26" t="s">
        <v>3</v>
      </c>
      <c r="B9" s="63">
        <v>726849857</v>
      </c>
      <c r="C9" s="19">
        <f>11767647+2589455+382365+477587+6129257+88115+818751+20311+346983+173815+5900875+8576397+1732+1178177+2506549+3016944+13512+1176785+1140433+5707+9168475</f>
        <v>55479872</v>
      </c>
      <c r="D9" s="29">
        <f>9974418+2244778+9442+6975757+3292541+2920596+12978861+27696+9458803+100203+3366485+3777+1587242+35718+1123148+542866</f>
        <v>54642331</v>
      </c>
      <c r="E9" s="29">
        <f>10958529+61234+7117124+67475+6668661+14332+2345684+22889+2908555+41512+8968612+89846+11583015+201988+1749531+88333+4018528+2008212+11411+1053768+56315+595453</f>
        <v>60631007</v>
      </c>
      <c r="F9" s="29">
        <f>11002433+1794862+37609+6891040+1274692+6512062+1952813+11973913+2414674+4058555+6709+943264+28058</f>
        <v>48890684</v>
      </c>
      <c r="G9" s="29">
        <f>10412701+6185697+30177+9817012+3682230+826762</f>
        <v>30954579</v>
      </c>
      <c r="H9" s="29">
        <f>10867701+15050+4456909+9226323+1710206+10385+236744+23834+3736749+1967005+9166578+14483+1597115+4141548+29522+415926+960912+20764+655061+22031</f>
        <v>49274846</v>
      </c>
      <c r="I9" s="29">
        <f>11366865+2204746+6360198+2150848+2649228+1495199+15945755+1244687+4070984+534770+915261+889433</f>
        <v>49827974</v>
      </c>
      <c r="J9" s="18"/>
      <c r="K9" s="10">
        <v>0</v>
      </c>
      <c r="L9" s="10">
        <v>0</v>
      </c>
      <c r="M9" s="10">
        <v>0</v>
      </c>
      <c r="N9" s="10">
        <v>0</v>
      </c>
      <c r="O9" s="63">
        <f>SUM(C9:I9)</f>
        <v>349701293</v>
      </c>
      <c r="Q9" s="15"/>
      <c r="AF9" s="18"/>
      <c r="AG9" s="15"/>
    </row>
    <row r="10" spans="1:33" x14ac:dyDescent="0.25">
      <c r="A10" s="26" t="s">
        <v>4</v>
      </c>
      <c r="B10" s="63">
        <v>51040681</v>
      </c>
      <c r="C10" s="19">
        <f>61332+46529+2727486+1132272+292013</f>
        <v>4259632</v>
      </c>
      <c r="D10" s="29">
        <f>48225+61346+3307132+3973093+1171531+629828</f>
        <v>9191155</v>
      </c>
      <c r="E10" s="29">
        <f>26546+37063+6455065+6493038+10281</f>
        <v>13021993</v>
      </c>
      <c r="F10" s="29">
        <f>47209+57523+17619+5809984+5413</f>
        <v>5937748</v>
      </c>
      <c r="G10" s="29">
        <f>81213+34616+3693+6620904+1679</f>
        <v>6742105</v>
      </c>
      <c r="H10" s="29">
        <f>27652+26576+7986708+5831553+2770</f>
        <v>13875259</v>
      </c>
      <c r="I10" s="29">
        <f>14326+13462+3977603+5824245+13701</f>
        <v>9843337</v>
      </c>
      <c r="J10" s="18"/>
      <c r="K10" s="10">
        <v>0</v>
      </c>
      <c r="L10" s="10">
        <v>0</v>
      </c>
      <c r="M10" s="10">
        <v>0</v>
      </c>
      <c r="N10" s="10">
        <v>0</v>
      </c>
      <c r="O10" s="63">
        <f t="shared" ref="O10:O13" si="2">SUM(C10:I10)</f>
        <v>62871229</v>
      </c>
      <c r="Q10" s="15"/>
      <c r="AF10" s="18"/>
      <c r="AG10" s="15"/>
    </row>
    <row r="11" spans="1:33" x14ac:dyDescent="0.25">
      <c r="A11" s="27" t="s">
        <v>36</v>
      </c>
      <c r="B11" s="63">
        <v>18171600</v>
      </c>
      <c r="C11" s="19">
        <f>1001000+422500+60000+120000+57000</f>
        <v>1660500</v>
      </c>
      <c r="D11" s="29">
        <v>0</v>
      </c>
      <c r="E11" s="29">
        <f>939500+361500+70000+120000+20000+40000</f>
        <v>1551000</v>
      </c>
      <c r="F11" s="29">
        <f>1850000+687000+185000+280000+100000</f>
        <v>3102000</v>
      </c>
      <c r="G11" s="29">
        <v>0</v>
      </c>
      <c r="H11" s="29">
        <f>1912500+769500+155000+240000+40000+80000</f>
        <v>3197000</v>
      </c>
      <c r="I11" s="29">
        <f>959000+432000+120000+20000+40000</f>
        <v>1571000</v>
      </c>
      <c r="J11" s="18"/>
      <c r="K11" s="10">
        <v>0</v>
      </c>
      <c r="L11" s="10">
        <v>0</v>
      </c>
      <c r="M11" s="10">
        <v>0</v>
      </c>
      <c r="N11" s="10">
        <v>0</v>
      </c>
      <c r="O11" s="63">
        <f t="shared" si="2"/>
        <v>11081500</v>
      </c>
      <c r="Q11" s="15"/>
      <c r="AF11" s="18"/>
      <c r="AG11" s="15"/>
    </row>
    <row r="12" spans="1:33" x14ac:dyDescent="0.25">
      <c r="A12" s="26" t="s">
        <v>5</v>
      </c>
      <c r="B12" s="63">
        <v>318000</v>
      </c>
      <c r="C12" s="19">
        <v>0</v>
      </c>
      <c r="D12" s="29">
        <v>0</v>
      </c>
      <c r="E12" s="20">
        <v>0</v>
      </c>
      <c r="F12" s="29">
        <v>0</v>
      </c>
      <c r="G12" s="29">
        <v>0</v>
      </c>
      <c r="H12" s="29">
        <v>0</v>
      </c>
      <c r="I12" s="29">
        <f>50000+50000</f>
        <v>100000</v>
      </c>
      <c r="J12" s="10"/>
      <c r="O12" s="63">
        <f t="shared" si="2"/>
        <v>100000</v>
      </c>
      <c r="Q12" s="15"/>
    </row>
    <row r="13" spans="1:33" ht="14.25" customHeight="1" x14ac:dyDescent="0.25">
      <c r="A13" s="26" t="s">
        <v>6</v>
      </c>
      <c r="B13" s="63">
        <v>95664402</v>
      </c>
      <c r="C13" s="20">
        <f>3212106+1339387+621773+645530+662257+1072325+554485</f>
        <v>8107863</v>
      </c>
      <c r="D13" s="29">
        <f>2086295+1448913+1189899+1714228+586370+39101+216065</f>
        <v>7280871</v>
      </c>
      <c r="E13" s="29">
        <f>4258381+2519421+1107643+1665309+685725+362847</f>
        <v>10599326</v>
      </c>
      <c r="F13" s="29">
        <f>917766+321250+268674+1029243+820620+73870</f>
        <v>3431423</v>
      </c>
      <c r="G13" s="29">
        <f>2265428+1498928+567435+3093797+653633+294793</f>
        <v>8374014</v>
      </c>
      <c r="H13" s="29">
        <f>2475464+1265879+756616+1140865+444529+261910</f>
        <v>6345263</v>
      </c>
      <c r="I13" s="29">
        <f>5014218+3504919+1584814+2107775+2138188+591424</f>
        <v>14941338</v>
      </c>
      <c r="J13" s="18"/>
      <c r="O13" s="63">
        <f t="shared" si="2"/>
        <v>59080098</v>
      </c>
      <c r="Q13" s="15"/>
      <c r="AF13" s="18"/>
      <c r="AG13" s="15"/>
    </row>
    <row r="14" spans="1:33" x14ac:dyDescent="0.25">
      <c r="A14" s="3" t="s">
        <v>7</v>
      </c>
      <c r="B14" s="65">
        <v>127807012</v>
      </c>
      <c r="C14" s="17">
        <f>+C15+C16+C17+C18+C19+C21+C22+C23+C20</f>
        <v>6418329</v>
      </c>
      <c r="D14" s="17">
        <f>SUM(D15:D23)</f>
        <v>5620653</v>
      </c>
      <c r="E14" s="17">
        <f t="shared" ref="E14:N14" si="3">SUM(E15:E23)</f>
        <v>12037532</v>
      </c>
      <c r="F14" s="17">
        <f>+F15+F16+F17+F18+F19+F20+F21+F22+F23</f>
        <v>14320443</v>
      </c>
      <c r="G14" s="17">
        <f t="shared" si="3"/>
        <v>12025574</v>
      </c>
      <c r="H14" s="17">
        <f>SUM(H15:H23)</f>
        <v>13628209</v>
      </c>
      <c r="I14" s="17">
        <f t="shared" si="3"/>
        <v>17014361</v>
      </c>
      <c r="J14" s="17">
        <f>SUM(J15:J23)</f>
        <v>0</v>
      </c>
      <c r="K14" s="17">
        <f t="shared" si="3"/>
        <v>0</v>
      </c>
      <c r="L14" s="17">
        <f t="shared" si="3"/>
        <v>0</v>
      </c>
      <c r="M14" s="17">
        <f t="shared" si="3"/>
        <v>0</v>
      </c>
      <c r="N14" s="17">
        <f t="shared" si="3"/>
        <v>0</v>
      </c>
      <c r="O14" s="65">
        <f>SUM(O15+O16+O17+O19+O20+O21+O22+O23)+O18</f>
        <v>81065101</v>
      </c>
    </row>
    <row r="15" spans="1:33" ht="15" customHeight="1" x14ac:dyDescent="0.25">
      <c r="A15" s="26" t="s">
        <v>8</v>
      </c>
      <c r="B15" s="63">
        <v>43740617</v>
      </c>
      <c r="C15" s="20">
        <f>2416+1544096+10987+28735+38459+11043+15593</f>
        <v>1651329</v>
      </c>
      <c r="D15" s="29">
        <f>19476+1429773+145994+1351970+23367+76561</f>
        <v>3047141</v>
      </c>
      <c r="E15" s="29">
        <f>9783+1500414+77551+2049874+1290197+21195+54081</f>
        <v>5003095</v>
      </c>
      <c r="F15" s="29">
        <f>7244+1472296+136135+2220029+1384228+58284</f>
        <v>5278216</v>
      </c>
      <c r="G15" s="29">
        <f>9857+2237738+91432+2282040+1472259+61966</f>
        <v>6155292</v>
      </c>
      <c r="H15" s="29">
        <f>9336+1963458+45583+2630839+1665209+10863+50905</f>
        <v>6376193</v>
      </c>
      <c r="I15" s="29">
        <f>3970+1696811+121189+2944042+1884828+31305+45765</f>
        <v>6727910</v>
      </c>
      <c r="J15" s="18"/>
      <c r="O15" s="63">
        <f>SUM(C15:I15)</f>
        <v>34239176</v>
      </c>
      <c r="Q15" s="15"/>
    </row>
    <row r="16" spans="1:33" ht="15" customHeight="1" x14ac:dyDescent="0.25">
      <c r="A16" s="27" t="s">
        <v>9</v>
      </c>
      <c r="B16" s="63">
        <v>5500000</v>
      </c>
      <c r="C16" s="20">
        <v>286386</v>
      </c>
      <c r="D16" s="29">
        <f>2190+212+4308+783</f>
        <v>7493</v>
      </c>
      <c r="E16" s="29">
        <f>2554+315+2900</f>
        <v>5769</v>
      </c>
      <c r="F16" s="29">
        <f>7657+24496</f>
        <v>32153</v>
      </c>
      <c r="G16" s="29">
        <f>22302+3713+53854</f>
        <v>79869</v>
      </c>
      <c r="H16" s="29">
        <f>6372+163548+44703</f>
        <v>214623</v>
      </c>
      <c r="I16" s="29">
        <v>3186</v>
      </c>
      <c r="J16" s="18"/>
      <c r="O16" s="63">
        <f>SUM(C16:I16)</f>
        <v>629479</v>
      </c>
      <c r="Q16" s="15"/>
    </row>
    <row r="17" spans="1:33" ht="15" customHeight="1" x14ac:dyDescent="0.25">
      <c r="A17" s="26" t="s">
        <v>10</v>
      </c>
      <c r="B17" s="63">
        <v>5457426</v>
      </c>
      <c r="C17" s="20">
        <v>6160</v>
      </c>
      <c r="D17" s="29">
        <f>28583+12150+283890+1900+7000</f>
        <v>333523</v>
      </c>
      <c r="E17" s="29">
        <f>50968+8300+19550</f>
        <v>78818</v>
      </c>
      <c r="F17" s="29">
        <f>18800+11900+700+17371+24700</f>
        <v>73471</v>
      </c>
      <c r="G17" s="29">
        <f>48350+27000+700+12300+12300</f>
        <v>100650</v>
      </c>
      <c r="H17" s="29">
        <f>1300000+20100</f>
        <v>1320100</v>
      </c>
      <c r="I17" s="29">
        <f>50056+711000+26500+12850</f>
        <v>800406</v>
      </c>
      <c r="J17" s="18"/>
      <c r="O17" s="63">
        <f t="shared" ref="O17:O23" si="4">SUM(C17:I17)</f>
        <v>2713128</v>
      </c>
      <c r="Q17" s="15"/>
    </row>
    <row r="18" spans="1:33" ht="15" customHeight="1" x14ac:dyDescent="0.25">
      <c r="A18" s="26" t="s">
        <v>11</v>
      </c>
      <c r="B18" s="63">
        <v>2903094</v>
      </c>
      <c r="C18" s="20">
        <f>204310+1080</f>
        <v>205390</v>
      </c>
      <c r="D18" s="29">
        <f>54859+7840+3239+395433</f>
        <v>461371</v>
      </c>
      <c r="E18" s="29">
        <f>3655+1840+1184+201+1620</f>
        <v>8500</v>
      </c>
      <c r="F18" s="29">
        <f>19310+5352+1401</f>
        <v>26063</v>
      </c>
      <c r="G18" s="29">
        <f>342233+3870+260</f>
        <v>346363</v>
      </c>
      <c r="H18" s="29">
        <v>1740</v>
      </c>
      <c r="I18" s="29">
        <f>685303+1743</f>
        <v>687046</v>
      </c>
      <c r="J18" s="18"/>
      <c r="O18" s="63">
        <f t="shared" si="4"/>
        <v>1736473</v>
      </c>
      <c r="Q18" s="15"/>
    </row>
    <row r="19" spans="1:33" ht="15" customHeight="1" x14ac:dyDescent="0.25">
      <c r="A19" s="26" t="s">
        <v>12</v>
      </c>
      <c r="B19" s="63">
        <v>27905000</v>
      </c>
      <c r="C19" s="20">
        <v>6000</v>
      </c>
      <c r="D19" s="29">
        <f>36000+384542</f>
        <v>420542</v>
      </c>
      <c r="E19" s="29">
        <f>79650+2902908</f>
        <v>2982558</v>
      </c>
      <c r="F19" s="29">
        <v>4164847</v>
      </c>
      <c r="G19" s="29">
        <f>43668+3154483</f>
        <v>3198151</v>
      </c>
      <c r="H19" s="29">
        <f>295366+3903541</f>
        <v>4198907</v>
      </c>
      <c r="I19" s="29">
        <f>6680+2615664</f>
        <v>2622344</v>
      </c>
      <c r="J19" s="18"/>
      <c r="O19" s="63">
        <f t="shared" si="4"/>
        <v>17593349</v>
      </c>
      <c r="Q19" s="15"/>
    </row>
    <row r="20" spans="1:33" ht="15" customHeight="1" x14ac:dyDescent="0.25">
      <c r="A20" s="26" t="s">
        <v>13</v>
      </c>
      <c r="B20" s="63">
        <v>11013660</v>
      </c>
      <c r="C20" s="20">
        <v>51407</v>
      </c>
      <c r="D20" s="29">
        <v>41039</v>
      </c>
      <c r="E20" s="29">
        <v>1001985</v>
      </c>
      <c r="F20" s="29">
        <f>997405+5803</f>
        <v>1003208</v>
      </c>
      <c r="G20" s="29">
        <v>55516</v>
      </c>
      <c r="H20" s="29">
        <v>37365</v>
      </c>
      <c r="I20" s="29">
        <v>1000038</v>
      </c>
      <c r="J20" s="18"/>
      <c r="O20" s="63">
        <f t="shared" si="4"/>
        <v>3190558</v>
      </c>
      <c r="Q20" s="15"/>
    </row>
    <row r="21" spans="1:33" ht="15" customHeight="1" x14ac:dyDescent="0.25">
      <c r="A21" s="26" t="s">
        <v>14</v>
      </c>
      <c r="B21" s="63">
        <v>10055379</v>
      </c>
      <c r="C21" s="20">
        <f>5487+116549+2243758+31506</f>
        <v>2397300</v>
      </c>
      <c r="D21" s="29">
        <f>57562+48423+20178+177</f>
        <v>126340</v>
      </c>
      <c r="E21" s="29">
        <f>10722+74684+1354934</f>
        <v>1440340</v>
      </c>
      <c r="F21" s="29">
        <f>566102+11040</f>
        <v>577142</v>
      </c>
      <c r="G21" s="29">
        <f>89317+50106+1500+949666</f>
        <v>1090589</v>
      </c>
      <c r="H21" s="29"/>
      <c r="I21" s="29">
        <f>36900+144051+54988</f>
        <v>235939</v>
      </c>
      <c r="J21" s="18"/>
      <c r="O21" s="63">
        <f t="shared" si="4"/>
        <v>5867650</v>
      </c>
      <c r="Q21" s="15"/>
    </row>
    <row r="22" spans="1:33" ht="15" customHeight="1" x14ac:dyDescent="0.25">
      <c r="A22" s="26" t="s">
        <v>15</v>
      </c>
      <c r="B22" s="63">
        <v>19031836</v>
      </c>
      <c r="C22" s="20">
        <f>1217425+718+5393</f>
        <v>1223536</v>
      </c>
      <c r="D22" s="29">
        <f>629450+153988</f>
        <v>783438</v>
      </c>
      <c r="E22" s="29">
        <f>702382+999</f>
        <v>703381</v>
      </c>
      <c r="F22" s="29">
        <f>433040+8282</f>
        <v>441322</v>
      </c>
      <c r="G22" s="29">
        <f>324861+7470</f>
        <v>332331</v>
      </c>
      <c r="H22" s="29">
        <f>391683+714+82613</f>
        <v>475010</v>
      </c>
      <c r="I22" s="29">
        <f>2012774+21000+60000+655418+30000</f>
        <v>2779192</v>
      </c>
      <c r="J22" s="18"/>
      <c r="O22" s="63">
        <f t="shared" si="4"/>
        <v>6738210</v>
      </c>
      <c r="Q22" s="15"/>
    </row>
    <row r="23" spans="1:33" ht="15" customHeight="1" x14ac:dyDescent="0.25">
      <c r="A23" s="26" t="s">
        <v>37</v>
      </c>
      <c r="B23" s="63">
        <v>2200000</v>
      </c>
      <c r="C23" s="20">
        <f>590821</f>
        <v>590821</v>
      </c>
      <c r="D23" s="29">
        <v>399766</v>
      </c>
      <c r="E23" s="29">
        <f>410727+402359</f>
        <v>813086</v>
      </c>
      <c r="F23" s="29">
        <f>1423562+704493+400519+195447</f>
        <v>2724021</v>
      </c>
      <c r="G23" s="29">
        <v>666813</v>
      </c>
      <c r="H23" s="29">
        <v>1004271</v>
      </c>
      <c r="I23" s="29">
        <v>2158300</v>
      </c>
      <c r="J23" s="18"/>
      <c r="O23" s="63">
        <f t="shared" si="4"/>
        <v>8357078</v>
      </c>
      <c r="Q23" s="15"/>
      <c r="AG23" s="51">
        <f>+C23-590821</f>
        <v>0</v>
      </c>
    </row>
    <row r="24" spans="1:33" s="30" customFormat="1" x14ac:dyDescent="0.25">
      <c r="A24" s="3" t="s">
        <v>16</v>
      </c>
      <c r="B24" s="65">
        <v>660393127</v>
      </c>
      <c r="C24" s="17">
        <f>SUM(C25:C33)</f>
        <v>11240701</v>
      </c>
      <c r="D24" s="17">
        <f>SUM(D25:D33)</f>
        <v>35852489</v>
      </c>
      <c r="E24" s="17">
        <f t="shared" ref="E24:N24" si="5">SUM(E25:E33)</f>
        <v>50774074</v>
      </c>
      <c r="F24" s="17">
        <f>+F25+F26+F27+F28+F29+F30+F31+F33</f>
        <v>59473834</v>
      </c>
      <c r="G24" s="17">
        <f t="shared" si="5"/>
        <v>79556178</v>
      </c>
      <c r="H24" s="17">
        <f t="shared" si="5"/>
        <v>59667712</v>
      </c>
      <c r="I24" s="17">
        <f t="shared" si="5"/>
        <v>50602815</v>
      </c>
      <c r="J24" s="24">
        <f>SUM(J25:J33)</f>
        <v>0</v>
      </c>
      <c r="K24" s="24">
        <f t="shared" si="5"/>
        <v>0</v>
      </c>
      <c r="L24" s="24">
        <f t="shared" si="5"/>
        <v>0</v>
      </c>
      <c r="M24" s="24">
        <f t="shared" si="5"/>
        <v>0</v>
      </c>
      <c r="N24" s="24">
        <f t="shared" si="5"/>
        <v>0</v>
      </c>
      <c r="O24" s="65">
        <f>+O25+O26+O29+O31+O32+O28+O27+O30+O33</f>
        <v>347167803</v>
      </c>
    </row>
    <row r="25" spans="1:33" ht="15" customHeight="1" x14ac:dyDescent="0.25">
      <c r="A25" s="26" t="s">
        <v>17</v>
      </c>
      <c r="B25" s="63">
        <v>425343212</v>
      </c>
      <c r="C25" s="20">
        <f>8842+175975+1103</f>
        <v>185920</v>
      </c>
      <c r="D25" s="29">
        <f>88100+2166+26229567+18833</f>
        <v>26338666</v>
      </c>
      <c r="E25" s="29">
        <f>81502+17664+3387+43184233</f>
        <v>43286786</v>
      </c>
      <c r="F25" s="29">
        <f>44253+11160+45717557+36000</f>
        <v>45808970</v>
      </c>
      <c r="G25" s="29">
        <f>25878+24246+63279837</f>
        <v>63329961</v>
      </c>
      <c r="H25" s="29">
        <f>20647+47558801</f>
        <v>47579448</v>
      </c>
      <c r="I25" s="29">
        <f>51878+47563+47642958</f>
        <v>47742399</v>
      </c>
      <c r="J25" s="18"/>
      <c r="O25" s="63">
        <f>SUM(C25:I25)</f>
        <v>274272150</v>
      </c>
    </row>
    <row r="26" spans="1:33" ht="15" customHeight="1" x14ac:dyDescent="0.25">
      <c r="A26" s="26" t="s">
        <v>18</v>
      </c>
      <c r="B26" s="63">
        <v>11395660</v>
      </c>
      <c r="C26" s="20">
        <v>0</v>
      </c>
      <c r="D26" s="29">
        <f>16506+70431+295</f>
        <v>87232</v>
      </c>
      <c r="E26" s="29">
        <f>475+856247</f>
        <v>856722</v>
      </c>
      <c r="F26" s="29">
        <f>258+1545+2263476</f>
        <v>2265279</v>
      </c>
      <c r="G26" s="29">
        <f>1010+76886+406111</f>
        <v>484007</v>
      </c>
      <c r="H26" s="29">
        <v>1874580</v>
      </c>
      <c r="I26" s="29">
        <v>675</v>
      </c>
      <c r="J26" s="18"/>
      <c r="O26" s="63">
        <f t="shared" ref="O26:O33" si="6">SUM(C26:I26)</f>
        <v>5568495</v>
      </c>
    </row>
    <row r="27" spans="1:33" ht="15" customHeight="1" x14ac:dyDescent="0.25">
      <c r="A27" s="26" t="s">
        <v>19</v>
      </c>
      <c r="B27" s="63">
        <v>3949979</v>
      </c>
      <c r="C27" s="20">
        <f>20615+6765</f>
        <v>27380</v>
      </c>
      <c r="D27" s="29">
        <f>5221+64522+2159+37697</f>
        <v>109599</v>
      </c>
      <c r="E27" s="20">
        <v>0</v>
      </c>
      <c r="F27" s="29">
        <f>4056+45032</f>
        <v>49088</v>
      </c>
      <c r="G27" s="29">
        <f>1206+152930+58402</f>
        <v>212538</v>
      </c>
      <c r="H27" s="29">
        <f>3967+13983+36244</f>
        <v>54194</v>
      </c>
      <c r="I27" s="29">
        <f>39948+68565</f>
        <v>108513</v>
      </c>
      <c r="J27" s="18"/>
      <c r="O27" s="63">
        <f t="shared" si="6"/>
        <v>561312</v>
      </c>
    </row>
    <row r="28" spans="1:33" ht="15" customHeight="1" x14ac:dyDescent="0.25">
      <c r="A28" s="26" t="s">
        <v>20</v>
      </c>
      <c r="B28" s="63">
        <v>2325048</v>
      </c>
      <c r="C28" s="20">
        <v>35538</v>
      </c>
      <c r="D28" s="29"/>
      <c r="E28" s="20">
        <v>0</v>
      </c>
      <c r="F28" s="29">
        <v>0</v>
      </c>
      <c r="G28" s="29">
        <v>156496</v>
      </c>
      <c r="H28" s="29">
        <v>639</v>
      </c>
      <c r="I28" s="29">
        <v>0</v>
      </c>
      <c r="J28" s="18"/>
      <c r="O28" s="63">
        <f t="shared" si="6"/>
        <v>192673</v>
      </c>
    </row>
    <row r="29" spans="1:33" ht="15" customHeight="1" x14ac:dyDescent="0.25">
      <c r="A29" s="26" t="s">
        <v>21</v>
      </c>
      <c r="B29" s="63">
        <v>20524454</v>
      </c>
      <c r="C29" s="20">
        <f>23668+237473+1622493</f>
        <v>1883634</v>
      </c>
      <c r="D29" s="29">
        <f>10617+23493+867+366725</f>
        <v>401702</v>
      </c>
      <c r="E29" s="29">
        <f>12200+2524+278480</f>
        <v>293204</v>
      </c>
      <c r="F29" s="29">
        <f>21229+1000763</f>
        <v>1021992</v>
      </c>
      <c r="G29" s="29">
        <f>11677+20760+862444</f>
        <v>894881</v>
      </c>
      <c r="H29" s="29">
        <f>118184+7107</f>
        <v>125291</v>
      </c>
      <c r="I29" s="29">
        <f>26530+177066</f>
        <v>203596</v>
      </c>
      <c r="J29" s="18"/>
      <c r="O29" s="63">
        <f t="shared" si="6"/>
        <v>4824300</v>
      </c>
    </row>
    <row r="30" spans="1:33" ht="15" customHeight="1" x14ac:dyDescent="0.25">
      <c r="A30" s="26" t="s">
        <v>22</v>
      </c>
      <c r="B30" s="63">
        <v>41014315</v>
      </c>
      <c r="C30" s="20">
        <f>3100+28320+1145102+38850+102424</f>
        <v>1317796</v>
      </c>
      <c r="D30" s="29">
        <f>4995+2714+20218+3652074+412174</f>
        <v>4092175</v>
      </c>
      <c r="E30" s="29">
        <f>682+200771</f>
        <v>201453</v>
      </c>
      <c r="F30" s="29">
        <f>4435+527+18384+593694</f>
        <v>617040</v>
      </c>
      <c r="G30" s="29">
        <f>5253+1333+3341373+4700</f>
        <v>3352659</v>
      </c>
      <c r="H30" s="29">
        <f>15825+23360</f>
        <v>39185</v>
      </c>
      <c r="I30" s="29">
        <f>1904+94143</f>
        <v>96047</v>
      </c>
      <c r="J30" s="18"/>
      <c r="O30" s="63">
        <f t="shared" si="6"/>
        <v>9716355</v>
      </c>
    </row>
    <row r="31" spans="1:33" ht="15" customHeight="1" x14ac:dyDescent="0.25">
      <c r="A31" s="26" t="s">
        <v>23</v>
      </c>
      <c r="B31" s="63">
        <v>124554572</v>
      </c>
      <c r="C31" s="20">
        <f>26487+1110986+2355524</f>
        <v>3492997</v>
      </c>
      <c r="D31" s="29">
        <f>22790+62521+82362+973658+4025</f>
        <v>1145356</v>
      </c>
      <c r="E31" s="29">
        <f>16094+377444+22680+4320251+1000</f>
        <v>4737469</v>
      </c>
      <c r="F31" s="29">
        <f>19104+195139+6036596</f>
        <v>6250839</v>
      </c>
      <c r="G31" s="29">
        <f>75744+137336+39100+7838273+13708</f>
        <v>8104161</v>
      </c>
      <c r="H31" s="29">
        <f>2969+501100+7588066</f>
        <v>8092135</v>
      </c>
      <c r="I31" s="29">
        <f>15944+96300+2036586</f>
        <v>2148830</v>
      </c>
      <c r="J31" s="18"/>
      <c r="O31" s="63">
        <f t="shared" si="6"/>
        <v>33971787</v>
      </c>
    </row>
    <row r="32" spans="1:33" ht="15" customHeight="1" x14ac:dyDescent="0.25">
      <c r="A32" s="27" t="s">
        <v>38</v>
      </c>
      <c r="B32" s="54">
        <v>0</v>
      </c>
      <c r="C32" s="20">
        <v>0</v>
      </c>
      <c r="D32" s="18"/>
      <c r="E32" s="20">
        <v>0</v>
      </c>
      <c r="F32" s="29">
        <v>0</v>
      </c>
      <c r="G32" s="29">
        <v>0</v>
      </c>
      <c r="H32" s="29">
        <v>0</v>
      </c>
      <c r="I32" s="29">
        <v>0</v>
      </c>
      <c r="J32" s="18"/>
      <c r="O32" s="20">
        <f t="shared" si="6"/>
        <v>0</v>
      </c>
    </row>
    <row r="33" spans="1:15" ht="15" customHeight="1" x14ac:dyDescent="0.25">
      <c r="A33" s="26" t="s">
        <v>24</v>
      </c>
      <c r="B33" s="63">
        <v>31285887</v>
      </c>
      <c r="C33" s="20">
        <f>152310+613708+3506048+8850+16520</f>
        <v>4297436</v>
      </c>
      <c r="D33" s="29">
        <f>29490+422479+35987+3189534+269</f>
        <v>3677759</v>
      </c>
      <c r="E33" s="29">
        <f>197072+754814+840+445714</f>
        <v>1398440</v>
      </c>
      <c r="F33" s="29">
        <f>130346+262291+3067184+805</f>
        <v>3460626</v>
      </c>
      <c r="G33" s="29">
        <f>799410+255958+1951498+14609</f>
        <v>3021475</v>
      </c>
      <c r="H33" s="29">
        <f>2671+58817+1840752</f>
        <v>1902240</v>
      </c>
      <c r="I33" s="29">
        <f>22588+25524+254643</f>
        <v>302755</v>
      </c>
      <c r="J33" s="18"/>
      <c r="O33" s="63">
        <f t="shared" si="6"/>
        <v>18060731</v>
      </c>
    </row>
    <row r="34" spans="1:15" s="30" customFormat="1" x14ac:dyDescent="0.25">
      <c r="A34" s="3" t="s">
        <v>25</v>
      </c>
      <c r="B34" s="65">
        <v>4400000</v>
      </c>
      <c r="C34" s="20">
        <f>SUM(C35:C41)</f>
        <v>0</v>
      </c>
      <c r="D34" s="17">
        <f>SUM(D35:D41)</f>
        <v>65000</v>
      </c>
      <c r="E34" s="34">
        <f t="shared" ref="E34:N34" si="7">SUM(E35:E41)</f>
        <v>0</v>
      </c>
      <c r="F34" s="17">
        <f>SUM(F35:F41)</f>
        <v>0</v>
      </c>
      <c r="G34" s="17">
        <f>SUM(G35:G41)</f>
        <v>172669</v>
      </c>
      <c r="H34" s="17">
        <f t="shared" si="7"/>
        <v>0</v>
      </c>
      <c r="I34" s="17">
        <f t="shared" si="7"/>
        <v>93766</v>
      </c>
      <c r="J34" s="17">
        <f>SUM(J35:J41)</f>
        <v>0</v>
      </c>
      <c r="K34" s="17">
        <f t="shared" si="7"/>
        <v>0</v>
      </c>
      <c r="L34" s="17">
        <f t="shared" si="7"/>
        <v>0</v>
      </c>
      <c r="M34" s="17">
        <f t="shared" si="7"/>
        <v>0</v>
      </c>
      <c r="N34" s="17">
        <f t="shared" si="7"/>
        <v>0</v>
      </c>
      <c r="O34" s="65">
        <f>+O35+O36+O37+O38+O39+O40+O41</f>
        <v>331435</v>
      </c>
    </row>
    <row r="35" spans="1:15" ht="15" customHeight="1" x14ac:dyDescent="0.25">
      <c r="A35" s="26" t="s">
        <v>26</v>
      </c>
      <c r="B35" s="63">
        <v>2000000</v>
      </c>
      <c r="C35" s="20">
        <v>0</v>
      </c>
      <c r="D35" s="29">
        <v>65000</v>
      </c>
      <c r="E35" s="20">
        <v>0</v>
      </c>
      <c r="F35" s="29">
        <v>0</v>
      </c>
      <c r="G35" s="29">
        <v>172669</v>
      </c>
      <c r="H35" s="20"/>
      <c r="I35" s="29">
        <v>93766</v>
      </c>
      <c r="J35" s="18"/>
      <c r="O35" s="63">
        <f>SUM(C35:I35)</f>
        <v>331435</v>
      </c>
    </row>
    <row r="36" spans="1:15" ht="15" customHeight="1" x14ac:dyDescent="0.25">
      <c r="A36" s="26" t="s">
        <v>39</v>
      </c>
      <c r="B36" s="55">
        <v>0</v>
      </c>
      <c r="C36" s="20">
        <v>0</v>
      </c>
      <c r="D36" s="29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18"/>
      <c r="O36" s="29">
        <f t="shared" ref="O36:O41" si="8">SUM(C36:I36)</f>
        <v>0</v>
      </c>
    </row>
    <row r="37" spans="1:15" ht="15" customHeight="1" x14ac:dyDescent="0.25">
      <c r="A37" s="26" t="s">
        <v>40</v>
      </c>
      <c r="B37" s="55">
        <v>0</v>
      </c>
      <c r="C37" s="20">
        <v>0</v>
      </c>
      <c r="D37" s="29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18"/>
      <c r="O37" s="29">
        <f t="shared" si="8"/>
        <v>0</v>
      </c>
    </row>
    <row r="38" spans="1:15" ht="15" customHeight="1" x14ac:dyDescent="0.25">
      <c r="A38" s="26" t="s">
        <v>41</v>
      </c>
      <c r="B38" s="63">
        <v>1400000</v>
      </c>
      <c r="C38" s="20">
        <v>0</v>
      </c>
      <c r="D38" s="29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18"/>
      <c r="O38" s="29">
        <f t="shared" si="8"/>
        <v>0</v>
      </c>
    </row>
    <row r="39" spans="1:15" ht="15" customHeight="1" x14ac:dyDescent="0.25">
      <c r="A39" s="26" t="s">
        <v>42</v>
      </c>
      <c r="B39" s="55">
        <v>0</v>
      </c>
      <c r="C39" s="20">
        <v>0</v>
      </c>
      <c r="D39" s="29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18"/>
      <c r="O39" s="29">
        <f t="shared" si="8"/>
        <v>0</v>
      </c>
    </row>
    <row r="40" spans="1:15" ht="15" customHeight="1" x14ac:dyDescent="0.25">
      <c r="A40" s="26" t="s">
        <v>27</v>
      </c>
      <c r="B40" s="55">
        <v>0</v>
      </c>
      <c r="C40" s="20">
        <v>0</v>
      </c>
      <c r="D40" s="29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18"/>
      <c r="O40" s="29">
        <f t="shared" si="8"/>
        <v>0</v>
      </c>
    </row>
    <row r="41" spans="1:15" ht="15" customHeight="1" x14ac:dyDescent="0.25">
      <c r="A41" s="26" t="s">
        <v>43</v>
      </c>
      <c r="B41" s="63">
        <v>1000000</v>
      </c>
      <c r="C41" s="20">
        <v>0</v>
      </c>
      <c r="D41" s="29">
        <v>0</v>
      </c>
      <c r="E41" s="20">
        <v>0</v>
      </c>
      <c r="F41" s="29">
        <v>0</v>
      </c>
      <c r="G41" s="29">
        <v>0</v>
      </c>
      <c r="H41" s="20">
        <v>0</v>
      </c>
      <c r="I41" s="20">
        <v>0</v>
      </c>
      <c r="J41" s="18"/>
      <c r="O41" s="29">
        <f t="shared" si="8"/>
        <v>0</v>
      </c>
    </row>
    <row r="42" spans="1:15" s="30" customFormat="1" x14ac:dyDescent="0.25">
      <c r="A42" s="3" t="s">
        <v>44</v>
      </c>
      <c r="B42" s="65">
        <v>2000000</v>
      </c>
      <c r="C42" s="17">
        <f>SUM(C43:C49)</f>
        <v>8328284</v>
      </c>
      <c r="D42" s="17">
        <f>SUM(D43:D49)</f>
        <v>699914</v>
      </c>
      <c r="E42" s="17">
        <f t="shared" ref="E42:N42" si="9">SUM(E43:E49)</f>
        <v>1533782</v>
      </c>
      <c r="F42" s="17">
        <f>+F43+F44+F45+F46+F47+F48+F49</f>
        <v>376929</v>
      </c>
      <c r="G42" s="17">
        <f>SUM(G43:G49)</f>
        <v>2215622</v>
      </c>
      <c r="H42" s="17">
        <f t="shared" si="9"/>
        <v>3970491</v>
      </c>
      <c r="I42" s="17">
        <f t="shared" si="9"/>
        <v>4692835</v>
      </c>
      <c r="J42" s="17">
        <f t="shared" si="9"/>
        <v>0</v>
      </c>
      <c r="K42" s="17">
        <f t="shared" si="9"/>
        <v>0</v>
      </c>
      <c r="L42" s="17">
        <f t="shared" si="9"/>
        <v>0</v>
      </c>
      <c r="M42" s="17">
        <f t="shared" si="9"/>
        <v>0</v>
      </c>
      <c r="N42" s="17">
        <f t="shared" si="9"/>
        <v>0</v>
      </c>
      <c r="O42" s="65">
        <f>SUM(O43+O44+O45+O46+O47+O48+O49)</f>
        <v>21817857</v>
      </c>
    </row>
    <row r="43" spans="1:15" x14ac:dyDescent="0.25">
      <c r="A43" s="26" t="s">
        <v>45</v>
      </c>
      <c r="B43" s="63">
        <v>2000000</v>
      </c>
      <c r="C43" s="20">
        <v>7224156</v>
      </c>
      <c r="D43" s="29">
        <v>434369</v>
      </c>
      <c r="E43" s="29">
        <v>869327</v>
      </c>
      <c r="F43" s="29">
        <v>210422</v>
      </c>
      <c r="G43" s="29">
        <v>1735153</v>
      </c>
      <c r="H43" s="29">
        <v>3615237</v>
      </c>
      <c r="I43" s="29">
        <v>4370388</v>
      </c>
      <c r="J43" s="18"/>
      <c r="O43" s="63">
        <f>SUM(C43:I43)</f>
        <v>18459052</v>
      </c>
    </row>
    <row r="44" spans="1:15" x14ac:dyDescent="0.25">
      <c r="A44" s="26" t="s">
        <v>46</v>
      </c>
      <c r="B44" s="54">
        <v>0</v>
      </c>
      <c r="C44" s="20">
        <v>0</v>
      </c>
      <c r="D44" s="29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18"/>
      <c r="O44" s="20">
        <f t="shared" ref="O44:O49" si="10">SUM(C44:I44)</f>
        <v>0</v>
      </c>
    </row>
    <row r="45" spans="1:15" x14ac:dyDescent="0.25">
      <c r="A45" s="26" t="s">
        <v>47</v>
      </c>
      <c r="B45" s="54">
        <v>0</v>
      </c>
      <c r="C45" s="20">
        <v>0</v>
      </c>
      <c r="D45" s="29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18"/>
      <c r="O45" s="20">
        <f t="shared" si="10"/>
        <v>0</v>
      </c>
    </row>
    <row r="46" spans="1:15" x14ac:dyDescent="0.25">
      <c r="A46" s="26" t="s">
        <v>48</v>
      </c>
      <c r="B46" s="54">
        <v>0</v>
      </c>
      <c r="C46" s="20">
        <v>0</v>
      </c>
      <c r="D46" s="29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18"/>
      <c r="O46" s="20">
        <f t="shared" si="10"/>
        <v>0</v>
      </c>
    </row>
    <row r="47" spans="1:15" x14ac:dyDescent="0.25">
      <c r="A47" s="26" t="s">
        <v>49</v>
      </c>
      <c r="B47" s="54">
        <v>0</v>
      </c>
      <c r="C47" s="20">
        <v>1104128</v>
      </c>
      <c r="D47" s="29">
        <v>265545</v>
      </c>
      <c r="E47" s="29">
        <v>664455</v>
      </c>
      <c r="F47" s="29">
        <v>166507</v>
      </c>
      <c r="G47" s="29">
        <v>480469</v>
      </c>
      <c r="H47" s="29">
        <v>355254</v>
      </c>
      <c r="I47" s="29">
        <v>322447</v>
      </c>
      <c r="J47" s="18"/>
      <c r="O47" s="63">
        <f t="shared" si="10"/>
        <v>3358805</v>
      </c>
    </row>
    <row r="48" spans="1:15" x14ac:dyDescent="0.25">
      <c r="A48" s="26" t="s">
        <v>50</v>
      </c>
      <c r="B48" s="54">
        <v>0</v>
      </c>
      <c r="C48" s="20">
        <v>0</v>
      </c>
      <c r="D48" s="29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18"/>
      <c r="O48" s="20">
        <f t="shared" si="10"/>
        <v>0</v>
      </c>
    </row>
    <row r="49" spans="1:15" x14ac:dyDescent="0.25">
      <c r="A49" s="26" t="s">
        <v>51</v>
      </c>
      <c r="B49" s="54">
        <v>0</v>
      </c>
      <c r="C49" s="20">
        <v>0</v>
      </c>
      <c r="D49" s="29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18"/>
      <c r="O49" s="20">
        <f t="shared" si="10"/>
        <v>0</v>
      </c>
    </row>
    <row r="50" spans="1:15" s="30" customFormat="1" x14ac:dyDescent="0.25">
      <c r="A50" s="3" t="s">
        <v>28</v>
      </c>
      <c r="B50" s="65">
        <v>114665125</v>
      </c>
      <c r="C50" s="17">
        <f>SUM(C51:C59)</f>
        <v>585162</v>
      </c>
      <c r="D50" s="17">
        <f>SUM(D51:D59)</f>
        <v>605326</v>
      </c>
      <c r="E50" s="17">
        <f>SUM(E51:E59)</f>
        <v>575125</v>
      </c>
      <c r="F50" s="17">
        <f>SUM(F51:F59)</f>
        <v>282440</v>
      </c>
      <c r="G50" s="17">
        <f>SUM(G51:G59)</f>
        <v>697006</v>
      </c>
      <c r="H50" s="17">
        <f t="shared" ref="H50:I50" si="11">SUM(H51:H59)</f>
        <v>84793</v>
      </c>
      <c r="I50" s="17">
        <f t="shared" si="11"/>
        <v>24020</v>
      </c>
      <c r="J50" s="21">
        <f>SUM(J51:J59)</f>
        <v>0</v>
      </c>
      <c r="K50" s="20">
        <f t="shared" ref="K50" si="12">SUM(K51:K59)</f>
        <v>0</v>
      </c>
      <c r="L50" s="20">
        <f t="shared" ref="L50" si="13">SUM(L51:L59)</f>
        <v>0</v>
      </c>
      <c r="M50" s="20">
        <f t="shared" ref="M50" si="14">SUM(M51:M59)</f>
        <v>0</v>
      </c>
      <c r="N50" s="20">
        <f t="shared" ref="N50" si="15">SUM(N51:N59)</f>
        <v>0</v>
      </c>
      <c r="O50" s="65">
        <f>+O51+O52+O53+O54+O55+O56++O57+O58+O59</f>
        <v>2853872</v>
      </c>
    </row>
    <row r="51" spans="1:15" x14ac:dyDescent="0.25">
      <c r="A51" s="26" t="s">
        <v>29</v>
      </c>
      <c r="B51" s="63">
        <v>3463940</v>
      </c>
      <c r="C51" s="20">
        <f>13452+51112+176794</f>
        <v>241358</v>
      </c>
      <c r="D51" s="29">
        <f>11505+12625</f>
        <v>24130</v>
      </c>
      <c r="E51" s="29">
        <f>5035+5600+1750</f>
        <v>12385</v>
      </c>
      <c r="F51" s="29">
        <f>16300+153527</f>
        <v>169827</v>
      </c>
      <c r="G51" s="29">
        <f>56416+4575+5305</f>
        <v>66296</v>
      </c>
      <c r="H51" s="29">
        <v>84793</v>
      </c>
      <c r="I51" s="29">
        <f>15295+8725</f>
        <v>24020</v>
      </c>
      <c r="J51" s="20"/>
      <c r="K51" s="20">
        <v>0</v>
      </c>
      <c r="L51" s="20">
        <v>0</v>
      </c>
      <c r="M51" s="20">
        <v>0</v>
      </c>
      <c r="N51" s="20">
        <v>0</v>
      </c>
      <c r="O51" s="63">
        <f>SUM(C51:I51)</f>
        <v>622809</v>
      </c>
    </row>
    <row r="52" spans="1:15" x14ac:dyDescent="0.25">
      <c r="A52" s="26" t="s">
        <v>99</v>
      </c>
      <c r="B52" s="63">
        <v>223000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/>
      <c r="K52" s="20">
        <v>0</v>
      </c>
      <c r="L52" s="20">
        <v>0</v>
      </c>
      <c r="M52" s="20">
        <v>0</v>
      </c>
      <c r="N52" s="20">
        <v>0</v>
      </c>
      <c r="O52" s="20">
        <f t="shared" ref="O52:O59" si="16">SUM(C52:I52)</f>
        <v>0</v>
      </c>
    </row>
    <row r="53" spans="1:15" x14ac:dyDescent="0.25">
      <c r="A53" s="26" t="s">
        <v>30</v>
      </c>
      <c r="B53" s="54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/>
      <c r="K53" s="20">
        <v>0</v>
      </c>
      <c r="L53" s="20">
        <v>0</v>
      </c>
      <c r="M53" s="20">
        <v>0</v>
      </c>
      <c r="N53" s="20">
        <v>0</v>
      </c>
      <c r="O53" s="65">
        <f t="shared" si="16"/>
        <v>0</v>
      </c>
    </row>
    <row r="54" spans="1:15" x14ac:dyDescent="0.25">
      <c r="A54" s="26" t="s">
        <v>31</v>
      </c>
      <c r="B54" s="63">
        <v>14862450</v>
      </c>
      <c r="C54" s="20">
        <v>0</v>
      </c>
      <c r="D54" s="20">
        <v>0</v>
      </c>
      <c r="E54" s="20">
        <v>0</v>
      </c>
      <c r="F54" s="29">
        <v>30645</v>
      </c>
      <c r="G54" s="29">
        <v>0</v>
      </c>
      <c r="H54" s="20">
        <v>0</v>
      </c>
      <c r="I54" s="20">
        <v>0</v>
      </c>
      <c r="J54" s="20"/>
      <c r="K54" s="20">
        <v>0</v>
      </c>
      <c r="L54" s="20">
        <v>0</v>
      </c>
      <c r="M54" s="20">
        <v>0</v>
      </c>
      <c r="N54" s="20">
        <v>0</v>
      </c>
      <c r="O54" s="63">
        <f t="shared" si="16"/>
        <v>30645</v>
      </c>
    </row>
    <row r="55" spans="1:15" x14ac:dyDescent="0.25">
      <c r="A55" s="26" t="s">
        <v>32</v>
      </c>
      <c r="B55" s="63">
        <v>46505735</v>
      </c>
      <c r="C55" s="20">
        <v>343804</v>
      </c>
      <c r="D55" s="20">
        <v>581196</v>
      </c>
      <c r="E55" s="29">
        <v>562740</v>
      </c>
      <c r="F55" s="29">
        <f>1455+80513</f>
        <v>81968</v>
      </c>
      <c r="G55" s="29">
        <v>630710</v>
      </c>
      <c r="H55" s="20">
        <v>0</v>
      </c>
      <c r="I55" s="20">
        <v>0</v>
      </c>
      <c r="J55" s="20"/>
      <c r="K55" s="20">
        <v>0</v>
      </c>
      <c r="L55" s="20">
        <v>0</v>
      </c>
      <c r="M55" s="20">
        <v>0</v>
      </c>
      <c r="N55" s="20">
        <v>0</v>
      </c>
      <c r="O55" s="63">
        <f t="shared" si="16"/>
        <v>2200418</v>
      </c>
    </row>
    <row r="56" spans="1:15" x14ac:dyDescent="0.25">
      <c r="A56" s="26" t="s">
        <v>52</v>
      </c>
      <c r="B56" s="55">
        <v>0</v>
      </c>
      <c r="C56" s="18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/>
      <c r="K56" s="20">
        <v>0</v>
      </c>
      <c r="L56" s="20">
        <v>0</v>
      </c>
      <c r="M56" s="20">
        <v>0</v>
      </c>
      <c r="N56" s="20">
        <v>0</v>
      </c>
      <c r="O56" s="20">
        <f t="shared" si="16"/>
        <v>0</v>
      </c>
    </row>
    <row r="57" spans="1:15" x14ac:dyDescent="0.25">
      <c r="A57" s="26" t="s">
        <v>100</v>
      </c>
      <c r="B57" s="63">
        <v>160000</v>
      </c>
      <c r="C57" s="18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/>
      <c r="K57" s="20">
        <v>0</v>
      </c>
      <c r="L57" s="20">
        <v>0</v>
      </c>
      <c r="M57" s="20">
        <v>0</v>
      </c>
      <c r="N57" s="20">
        <v>0</v>
      </c>
      <c r="O57" s="20">
        <f t="shared" si="16"/>
        <v>0</v>
      </c>
    </row>
    <row r="58" spans="1:15" x14ac:dyDescent="0.25">
      <c r="A58" s="26" t="s">
        <v>33</v>
      </c>
      <c r="B58" s="63">
        <v>49450000</v>
      </c>
      <c r="C58" s="18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/>
      <c r="K58" s="20">
        <v>0</v>
      </c>
      <c r="L58" s="20">
        <v>0</v>
      </c>
      <c r="M58" s="20">
        <v>0</v>
      </c>
      <c r="N58" s="20">
        <v>0</v>
      </c>
      <c r="O58" s="20">
        <f t="shared" si="16"/>
        <v>0</v>
      </c>
    </row>
    <row r="59" spans="1:15" x14ac:dyDescent="0.25">
      <c r="A59" s="26" t="s">
        <v>53</v>
      </c>
      <c r="B59" s="55">
        <v>0</v>
      </c>
      <c r="C59" s="18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/>
      <c r="K59" s="20">
        <v>0</v>
      </c>
      <c r="L59" s="20">
        <v>0</v>
      </c>
      <c r="M59" s="20">
        <v>0</v>
      </c>
      <c r="N59" s="20">
        <v>0</v>
      </c>
      <c r="O59" s="20">
        <f t="shared" si="16"/>
        <v>0</v>
      </c>
    </row>
    <row r="60" spans="1:15" s="30" customFormat="1" ht="15.75" x14ac:dyDescent="0.25">
      <c r="A60" s="3" t="s">
        <v>54</v>
      </c>
      <c r="B60" s="65">
        <v>14829000</v>
      </c>
      <c r="C60" s="16">
        <f>SUM(C61:C71)</f>
        <v>0</v>
      </c>
      <c r="D60" s="32">
        <f>SUM(D61:D63)</f>
        <v>0</v>
      </c>
      <c r="E60" s="20">
        <f t="shared" ref="E60:N60" si="17">SUM(E61:E63)</f>
        <v>0</v>
      </c>
      <c r="F60" s="21">
        <f>SUM(F61:F63)</f>
        <v>0</v>
      </c>
      <c r="G60" s="21">
        <f t="shared" si="17"/>
        <v>3127066</v>
      </c>
      <c r="H60" s="21">
        <f t="shared" si="17"/>
        <v>0</v>
      </c>
      <c r="I60" s="21">
        <f t="shared" si="17"/>
        <v>2523813</v>
      </c>
      <c r="J60" s="21">
        <f>SUM(J61:J63)</f>
        <v>0</v>
      </c>
      <c r="K60" s="20">
        <f t="shared" si="17"/>
        <v>0</v>
      </c>
      <c r="L60" s="20">
        <f t="shared" si="17"/>
        <v>0</v>
      </c>
      <c r="M60" s="20">
        <f t="shared" si="17"/>
        <v>0</v>
      </c>
      <c r="N60" s="20">
        <f t="shared" si="17"/>
        <v>0</v>
      </c>
      <c r="O60" s="65">
        <f>+O61+O62+O63+O64+O66+O67+O69+O70+O71</f>
        <v>5650879</v>
      </c>
    </row>
    <row r="61" spans="1:15" ht="15" customHeight="1" x14ac:dyDescent="0.25">
      <c r="A61" s="26" t="s">
        <v>55</v>
      </c>
      <c r="B61" s="63">
        <v>14150000</v>
      </c>
      <c r="C61" s="18">
        <v>0</v>
      </c>
      <c r="D61" s="20">
        <v>0</v>
      </c>
      <c r="E61" s="20">
        <v>0</v>
      </c>
      <c r="F61" s="21">
        <v>0</v>
      </c>
      <c r="G61" s="21">
        <v>0</v>
      </c>
      <c r="H61" s="20">
        <v>0</v>
      </c>
      <c r="I61" s="20">
        <v>0</v>
      </c>
      <c r="J61" s="20"/>
      <c r="K61" s="20"/>
      <c r="L61" s="20"/>
      <c r="M61" s="20"/>
      <c r="N61" s="20"/>
      <c r="O61" s="18">
        <f>SUM(C61:I61)</f>
        <v>0</v>
      </c>
    </row>
    <row r="62" spans="1:15" ht="15" customHeight="1" x14ac:dyDescent="0.25">
      <c r="A62" s="26" t="s">
        <v>56</v>
      </c>
      <c r="B62" s="63">
        <v>679000</v>
      </c>
      <c r="C62" s="18">
        <v>0</v>
      </c>
      <c r="D62" s="20">
        <v>0</v>
      </c>
      <c r="E62" s="20">
        <v>0</v>
      </c>
      <c r="F62" s="21">
        <v>0</v>
      </c>
      <c r="G62" s="21">
        <v>3127066</v>
      </c>
      <c r="H62" s="20">
        <v>0</v>
      </c>
      <c r="I62" s="21">
        <v>2523813</v>
      </c>
      <c r="J62" s="20"/>
      <c r="K62" s="20">
        <v>0</v>
      </c>
      <c r="L62" s="20">
        <v>0</v>
      </c>
      <c r="M62" s="20">
        <v>0</v>
      </c>
      <c r="N62" s="20">
        <v>0</v>
      </c>
      <c r="O62" s="63">
        <f t="shared" ref="O62:O64" si="18">SUM(C62:I62)</f>
        <v>5650879</v>
      </c>
    </row>
    <row r="63" spans="1:15" ht="15.75" customHeight="1" x14ac:dyDescent="0.25">
      <c r="A63" s="26" t="s">
        <v>57</v>
      </c>
      <c r="B63" s="55">
        <v>0</v>
      </c>
      <c r="C63" s="18">
        <v>0</v>
      </c>
      <c r="D63" s="21">
        <v>0</v>
      </c>
      <c r="E63" s="20">
        <v>0</v>
      </c>
      <c r="F63" s="21">
        <v>0</v>
      </c>
      <c r="G63" s="21">
        <v>0</v>
      </c>
      <c r="H63" s="21">
        <v>0</v>
      </c>
      <c r="I63" s="21">
        <v>0</v>
      </c>
      <c r="J63" s="20"/>
      <c r="K63" s="20">
        <v>0</v>
      </c>
      <c r="L63" s="20">
        <v>0</v>
      </c>
      <c r="M63" s="20">
        <v>0</v>
      </c>
      <c r="N63" s="20">
        <v>0</v>
      </c>
      <c r="O63" s="18">
        <f t="shared" si="18"/>
        <v>0</v>
      </c>
    </row>
    <row r="64" spans="1:15" ht="10.5" customHeight="1" x14ac:dyDescent="0.25">
      <c r="A64" s="26" t="s">
        <v>58</v>
      </c>
      <c r="B64" s="55">
        <v>0</v>
      </c>
      <c r="C64" s="18">
        <v>0</v>
      </c>
      <c r="D64" s="21">
        <v>0</v>
      </c>
      <c r="E64" s="20">
        <v>0</v>
      </c>
      <c r="F64" s="21">
        <v>0</v>
      </c>
      <c r="G64" s="21">
        <v>0</v>
      </c>
      <c r="H64" s="21">
        <v>0</v>
      </c>
      <c r="I64" s="21">
        <v>0</v>
      </c>
      <c r="J64" s="20"/>
      <c r="K64" s="20">
        <v>0</v>
      </c>
      <c r="L64" s="20">
        <v>0</v>
      </c>
      <c r="M64" s="20">
        <v>0</v>
      </c>
      <c r="N64" s="20">
        <v>0</v>
      </c>
      <c r="O64" s="18">
        <f t="shared" si="18"/>
        <v>0</v>
      </c>
    </row>
    <row r="65" spans="1:17" x14ac:dyDescent="0.25">
      <c r="A65" s="3" t="s">
        <v>59</v>
      </c>
      <c r="B65" s="55">
        <v>0</v>
      </c>
      <c r="C65" s="21">
        <f>SUM(C66:C67)</f>
        <v>0</v>
      </c>
      <c r="D65" s="21"/>
      <c r="F65" s="21">
        <v>0</v>
      </c>
      <c r="G65" s="21"/>
      <c r="H65" s="21"/>
      <c r="I65" s="21"/>
      <c r="O65" s="18">
        <f>SUM(P65:AA65)</f>
        <v>0</v>
      </c>
    </row>
    <row r="66" spans="1:17" x14ac:dyDescent="0.25">
      <c r="A66" s="26" t="s">
        <v>60</v>
      </c>
      <c r="B66" s="55">
        <v>0</v>
      </c>
      <c r="C66" s="18">
        <v>0</v>
      </c>
      <c r="D66" s="20">
        <v>0</v>
      </c>
      <c r="E66" s="20">
        <v>0</v>
      </c>
      <c r="F66" s="21">
        <v>0</v>
      </c>
      <c r="G66" s="21">
        <v>0</v>
      </c>
      <c r="H66" s="21">
        <v>0</v>
      </c>
      <c r="I66" s="21">
        <v>0</v>
      </c>
      <c r="J66" s="20"/>
      <c r="K66" s="20">
        <v>0</v>
      </c>
      <c r="L66" s="20">
        <v>0</v>
      </c>
      <c r="M66" s="20">
        <v>0</v>
      </c>
      <c r="N66" s="20">
        <v>0</v>
      </c>
      <c r="O66" s="18">
        <f t="shared" ref="O66:O71" si="19">SUM(P66:AA66)</f>
        <v>0</v>
      </c>
    </row>
    <row r="67" spans="1:17" x14ac:dyDescent="0.25">
      <c r="A67" s="26" t="s">
        <v>61</v>
      </c>
      <c r="B67" s="55">
        <v>0</v>
      </c>
      <c r="C67" s="18">
        <v>0</v>
      </c>
      <c r="D67" s="20">
        <v>0</v>
      </c>
      <c r="E67" s="20">
        <v>0</v>
      </c>
      <c r="F67" s="21">
        <v>0</v>
      </c>
      <c r="G67" s="21">
        <v>0</v>
      </c>
      <c r="H67" s="21">
        <v>0</v>
      </c>
      <c r="I67" s="21">
        <v>0</v>
      </c>
      <c r="J67" s="20"/>
      <c r="K67" s="20">
        <v>0</v>
      </c>
      <c r="L67" s="20">
        <v>0</v>
      </c>
      <c r="M67" s="20">
        <v>0</v>
      </c>
      <c r="N67" s="20">
        <v>0</v>
      </c>
      <c r="O67" s="18">
        <f t="shared" si="19"/>
        <v>0</v>
      </c>
    </row>
    <row r="68" spans="1:17" x14ac:dyDescent="0.25">
      <c r="A68" s="3" t="s">
        <v>62</v>
      </c>
      <c r="B68" s="55">
        <v>0</v>
      </c>
      <c r="C68" s="21">
        <f t="shared" ref="C68:H68" si="20">SUM(C69:C70)</f>
        <v>0</v>
      </c>
      <c r="D68" s="21">
        <f t="shared" si="20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v>0</v>
      </c>
      <c r="O68" s="18">
        <f t="shared" si="19"/>
        <v>0</v>
      </c>
    </row>
    <row r="69" spans="1:17" x14ac:dyDescent="0.25">
      <c r="A69" s="26" t="s">
        <v>63</v>
      </c>
      <c r="B69" s="55">
        <v>0</v>
      </c>
      <c r="C69" s="18">
        <v>0</v>
      </c>
      <c r="D69" s="21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/>
      <c r="K69" s="20">
        <v>0</v>
      </c>
      <c r="L69" s="20">
        <v>0</v>
      </c>
      <c r="M69" s="20">
        <v>0</v>
      </c>
      <c r="N69" s="20">
        <v>0</v>
      </c>
      <c r="O69" s="18">
        <f t="shared" si="19"/>
        <v>0</v>
      </c>
    </row>
    <row r="70" spans="1:17" x14ac:dyDescent="0.25">
      <c r="A70" s="26" t="s">
        <v>64</v>
      </c>
      <c r="B70" s="55">
        <v>0</v>
      </c>
      <c r="C70" s="18">
        <v>0</v>
      </c>
      <c r="D70" s="21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>
        <v>0</v>
      </c>
      <c r="L70" s="20">
        <v>0</v>
      </c>
      <c r="M70" s="20">
        <v>0</v>
      </c>
      <c r="N70" s="20">
        <v>0</v>
      </c>
      <c r="O70" s="18">
        <f t="shared" si="19"/>
        <v>0</v>
      </c>
    </row>
    <row r="71" spans="1:17" x14ac:dyDescent="0.25">
      <c r="A71" s="26" t="s">
        <v>65</v>
      </c>
      <c r="B71" s="55">
        <v>0</v>
      </c>
      <c r="C71" s="18">
        <v>0</v>
      </c>
      <c r="D71" s="21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/>
      <c r="K71" s="20">
        <v>0</v>
      </c>
      <c r="L71" s="20">
        <v>0</v>
      </c>
      <c r="M71" s="20">
        <v>0</v>
      </c>
      <c r="N71" s="20">
        <v>0</v>
      </c>
      <c r="O71" s="18">
        <f t="shared" si="19"/>
        <v>0</v>
      </c>
    </row>
    <row r="72" spans="1:17" x14ac:dyDescent="0.25">
      <c r="A72" s="6" t="s">
        <v>34</v>
      </c>
      <c r="B72" s="5">
        <v>1816138804</v>
      </c>
      <c r="C72" s="22">
        <f>SUM(C8,C14,C24,C34,C42,C50,C60)</f>
        <v>96080343</v>
      </c>
      <c r="D72" s="22">
        <f>SUM(D8,D14,D24,D34,D42,D50,D60)</f>
        <v>113957739</v>
      </c>
      <c r="E72" s="22">
        <f>SUM(E8,E14,E24,E34,E42,E50,E60)</f>
        <v>150723839</v>
      </c>
      <c r="F72" s="22">
        <f t="shared" ref="F72:N72" si="21">+F8+F14+F24+F34+F42+F50+F60+F65+F68</f>
        <v>135815501</v>
      </c>
      <c r="G72" s="22">
        <f>+G8+G14+G24+G34+G42+G50+G60+G65+G68</f>
        <v>143864813</v>
      </c>
      <c r="H72" s="22">
        <f t="shared" si="21"/>
        <v>150043573</v>
      </c>
      <c r="I72" s="22">
        <f t="shared" si="21"/>
        <v>151235259</v>
      </c>
      <c r="J72" s="22">
        <f t="shared" si="21"/>
        <v>0</v>
      </c>
      <c r="K72" s="22">
        <f t="shared" si="21"/>
        <v>0</v>
      </c>
      <c r="L72" s="22">
        <f t="shared" si="21"/>
        <v>0</v>
      </c>
      <c r="M72" s="22">
        <f t="shared" si="21"/>
        <v>0</v>
      </c>
      <c r="N72" s="22">
        <f t="shared" si="21"/>
        <v>0</v>
      </c>
      <c r="O72" s="68">
        <f>+O8+O14+O24+O34+O42+O50+O60</f>
        <v>941721067</v>
      </c>
      <c r="Q72" s="15"/>
    </row>
    <row r="73" spans="1:17" x14ac:dyDescent="0.25">
      <c r="A73" s="4"/>
      <c r="B73" s="31"/>
      <c r="C73" s="20"/>
      <c r="E73" s="36"/>
      <c r="G73"/>
      <c r="O73" s="15"/>
    </row>
    <row r="74" spans="1:17" s="30" customFormat="1" x14ac:dyDescent="0.25">
      <c r="A74" s="1" t="s">
        <v>66</v>
      </c>
      <c r="B74" s="57">
        <v>4000000</v>
      </c>
      <c r="C74" s="37">
        <f>SUM(C75+C78+C81)</f>
        <v>0</v>
      </c>
      <c r="D74" s="40">
        <f t="shared" ref="D74:I74" si="22">SUM(D75+D78+D81)</f>
        <v>0</v>
      </c>
      <c r="E74" s="40">
        <f t="shared" si="22"/>
        <v>66116</v>
      </c>
      <c r="F74" s="40">
        <f t="shared" si="22"/>
        <v>12998400</v>
      </c>
      <c r="G74" s="17">
        <f t="shared" si="22"/>
        <v>31722972</v>
      </c>
      <c r="H74" s="17">
        <f t="shared" si="22"/>
        <v>23003</v>
      </c>
      <c r="I74" s="17">
        <f t="shared" si="22"/>
        <v>91819393</v>
      </c>
      <c r="J74" s="2"/>
      <c r="K74" s="2"/>
      <c r="L74" s="2"/>
      <c r="M74" s="2"/>
      <c r="N74" s="2"/>
      <c r="O74" s="64">
        <f>+O75+O78+O81</f>
        <v>136629884</v>
      </c>
    </row>
    <row r="75" spans="1:17" s="30" customFormat="1" x14ac:dyDescent="0.25">
      <c r="A75" s="3" t="s">
        <v>67</v>
      </c>
      <c r="B75" s="58">
        <v>0</v>
      </c>
      <c r="C75" s="21">
        <v>0</v>
      </c>
      <c r="D75" s="33">
        <f t="shared" ref="D75:J75" si="23">SUM(D76:D77)</f>
        <v>0</v>
      </c>
      <c r="E75" s="25">
        <f t="shared" si="23"/>
        <v>0</v>
      </c>
      <c r="F75" s="17">
        <f>SUM(F76:F77)</f>
        <v>12998400</v>
      </c>
      <c r="G75" s="52">
        <f t="shared" si="23"/>
        <v>31722972</v>
      </c>
      <c r="H75" s="52">
        <f t="shared" si="23"/>
        <v>0</v>
      </c>
      <c r="I75" s="52">
        <f t="shared" si="23"/>
        <v>82790181</v>
      </c>
      <c r="J75" s="21">
        <f t="shared" si="23"/>
        <v>0</v>
      </c>
      <c r="O75" s="65">
        <f>+O76+O77</f>
        <v>127511553</v>
      </c>
    </row>
    <row r="76" spans="1:17" x14ac:dyDescent="0.25">
      <c r="A76" s="26" t="s">
        <v>68</v>
      </c>
      <c r="B76" s="55">
        <v>0</v>
      </c>
      <c r="C76" s="20">
        <v>0</v>
      </c>
      <c r="D76" s="20">
        <v>0</v>
      </c>
      <c r="E76" s="21">
        <v>0</v>
      </c>
      <c r="F76" s="29">
        <v>12998400</v>
      </c>
      <c r="G76" s="29">
        <v>31722972</v>
      </c>
      <c r="H76" s="29"/>
      <c r="I76" s="29">
        <v>82790181</v>
      </c>
      <c r="J76" s="18"/>
      <c r="O76" s="63">
        <f>SUM(C76:I76)</f>
        <v>127511553</v>
      </c>
    </row>
    <row r="77" spans="1:17" x14ac:dyDescent="0.25">
      <c r="A77" s="26" t="s">
        <v>69</v>
      </c>
      <c r="B77" s="55">
        <v>0</v>
      </c>
      <c r="C77" s="20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18"/>
      <c r="O77" s="18">
        <f>SUM(C77:I77)</f>
        <v>0</v>
      </c>
    </row>
    <row r="78" spans="1:17" x14ac:dyDescent="0.25">
      <c r="A78" s="3" t="s">
        <v>70</v>
      </c>
      <c r="B78" s="59">
        <v>4000000</v>
      </c>
      <c r="C78" s="21">
        <f>SUM(C79:C80)</f>
        <v>0</v>
      </c>
      <c r="D78" s="21">
        <v>0</v>
      </c>
      <c r="E78" s="21">
        <f>+E79+E80</f>
        <v>66116</v>
      </c>
      <c r="F78" s="25">
        <f>+F79+F80</f>
        <v>0</v>
      </c>
      <c r="G78" s="25">
        <f>+G79+G80</f>
        <v>0</v>
      </c>
      <c r="H78" s="21">
        <f>+H79+H80</f>
        <v>23003</v>
      </c>
      <c r="I78" s="21">
        <f>SUM(I79+I80)</f>
        <v>9029212</v>
      </c>
      <c r="J78" s="18"/>
      <c r="O78" s="65">
        <f>SUM(O79+O80)</f>
        <v>9118331</v>
      </c>
    </row>
    <row r="79" spans="1:17" x14ac:dyDescent="0.25">
      <c r="A79" s="26" t="s">
        <v>71</v>
      </c>
      <c r="B79" s="56">
        <v>4000000</v>
      </c>
      <c r="C79" s="20">
        <v>0</v>
      </c>
      <c r="D79" s="21">
        <v>0</v>
      </c>
      <c r="E79" s="29">
        <v>66116</v>
      </c>
      <c r="F79" s="21">
        <v>0</v>
      </c>
      <c r="G79" s="21">
        <v>0</v>
      </c>
      <c r="H79" s="29">
        <v>23003</v>
      </c>
      <c r="I79" s="29">
        <v>9029212</v>
      </c>
      <c r="J79" s="18"/>
      <c r="O79" s="63">
        <f>SUM(C79:I79)</f>
        <v>9118331</v>
      </c>
    </row>
    <row r="80" spans="1:17" x14ac:dyDescent="0.25">
      <c r="A80" s="26" t="s">
        <v>72</v>
      </c>
      <c r="B80" s="55">
        <v>0</v>
      </c>
      <c r="C80" s="20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0">
        <v>0</v>
      </c>
      <c r="J80" s="18"/>
      <c r="O80" s="25">
        <f>SUM(C80:I80)</f>
        <v>0</v>
      </c>
    </row>
    <row r="81" spans="1:32" x14ac:dyDescent="0.25">
      <c r="A81" s="3" t="s">
        <v>73</v>
      </c>
      <c r="B81" s="55">
        <v>0</v>
      </c>
      <c r="C81" s="21">
        <v>0</v>
      </c>
      <c r="D81" s="21">
        <f t="shared" ref="D81:N81" si="24">+D82</f>
        <v>0</v>
      </c>
      <c r="E81" s="21">
        <f t="shared" si="24"/>
        <v>0</v>
      </c>
      <c r="F81" s="21">
        <f t="shared" si="24"/>
        <v>0</v>
      </c>
      <c r="G81" s="21">
        <f t="shared" si="24"/>
        <v>0</v>
      </c>
      <c r="H81" s="21">
        <f t="shared" si="24"/>
        <v>0</v>
      </c>
      <c r="I81" s="20">
        <f>+I82</f>
        <v>0</v>
      </c>
      <c r="J81" s="21">
        <f t="shared" si="24"/>
        <v>0</v>
      </c>
      <c r="K81" s="21">
        <f t="shared" si="24"/>
        <v>0</v>
      </c>
      <c r="L81" s="21">
        <f t="shared" si="24"/>
        <v>0</v>
      </c>
      <c r="M81" s="21">
        <f t="shared" si="24"/>
        <v>0</v>
      </c>
      <c r="N81" s="21">
        <f t="shared" si="24"/>
        <v>0</v>
      </c>
      <c r="O81" s="18">
        <f>+O82</f>
        <v>0</v>
      </c>
    </row>
    <row r="82" spans="1:32" x14ac:dyDescent="0.25">
      <c r="A82" s="26" t="s">
        <v>74</v>
      </c>
      <c r="B82" s="55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0">
        <v>0</v>
      </c>
      <c r="O82" s="18">
        <f t="shared" ref="O82" si="25">SUM(P82:AA82)</f>
        <v>0</v>
      </c>
    </row>
    <row r="83" spans="1:32" x14ac:dyDescent="0.25">
      <c r="A83" s="6" t="s">
        <v>75</v>
      </c>
      <c r="B83" s="5">
        <v>4000000</v>
      </c>
      <c r="C83" s="22">
        <f>+C75+C78+C81</f>
        <v>0</v>
      </c>
      <c r="D83" s="35">
        <f t="shared" ref="D83:J83" si="26">SUM(D76+D78+D81)</f>
        <v>0</v>
      </c>
      <c r="E83" s="22">
        <f t="shared" si="26"/>
        <v>66116</v>
      </c>
      <c r="F83" s="22">
        <f t="shared" si="26"/>
        <v>12998400</v>
      </c>
      <c r="G83" s="22">
        <f t="shared" si="26"/>
        <v>31722972</v>
      </c>
      <c r="H83" s="22">
        <f t="shared" si="26"/>
        <v>23003</v>
      </c>
      <c r="I83" s="22">
        <f t="shared" si="26"/>
        <v>91819393</v>
      </c>
      <c r="J83" s="35">
        <f t="shared" si="26"/>
        <v>0</v>
      </c>
      <c r="K83" s="5"/>
      <c r="L83" s="5"/>
      <c r="M83" s="5"/>
      <c r="N83" s="5"/>
      <c r="O83" s="66">
        <f>+O74+O81</f>
        <v>136629884</v>
      </c>
    </row>
    <row r="84" spans="1:32" x14ac:dyDescent="0.25">
      <c r="B84" s="60"/>
      <c r="G84"/>
      <c r="O84" s="15"/>
    </row>
    <row r="85" spans="1:32" ht="15.75" x14ac:dyDescent="0.25">
      <c r="A85" s="7" t="s">
        <v>76</v>
      </c>
      <c r="B85" s="61">
        <v>1820138804</v>
      </c>
      <c r="C85" s="23">
        <f>+C72+C83</f>
        <v>96080343</v>
      </c>
      <c r="D85" s="23">
        <f t="shared" ref="D85:J85" si="27">+D72+D83</f>
        <v>113957739</v>
      </c>
      <c r="E85" s="23">
        <f t="shared" si="27"/>
        <v>150789955</v>
      </c>
      <c r="F85" s="23">
        <f t="shared" si="27"/>
        <v>148813901</v>
      </c>
      <c r="G85" s="23">
        <f t="shared" si="27"/>
        <v>175587785</v>
      </c>
      <c r="H85" s="23">
        <f t="shared" si="27"/>
        <v>150066576</v>
      </c>
      <c r="I85" s="23">
        <f t="shared" si="27"/>
        <v>243054652</v>
      </c>
      <c r="J85" s="23">
        <f t="shared" si="27"/>
        <v>0</v>
      </c>
      <c r="K85" s="8"/>
      <c r="L85" s="8"/>
      <c r="M85" s="8"/>
      <c r="N85" s="8"/>
      <c r="O85" s="67">
        <f>+O72+O83+2</f>
        <v>1078350953</v>
      </c>
    </row>
    <row r="86" spans="1:32" x14ac:dyDescent="0.25">
      <c r="A86" t="s">
        <v>89</v>
      </c>
      <c r="O86" s="15"/>
    </row>
    <row r="87" spans="1:32" x14ac:dyDescent="0.25">
      <c r="A87" t="s">
        <v>96</v>
      </c>
      <c r="D87" s="15"/>
      <c r="F87" s="15"/>
    </row>
    <row r="88" spans="1:32" x14ac:dyDescent="0.25">
      <c r="A88" t="s">
        <v>88</v>
      </c>
      <c r="D88" s="15"/>
    </row>
    <row r="89" spans="1:32" x14ac:dyDescent="0.25">
      <c r="D89" s="15"/>
    </row>
    <row r="90" spans="1:32" x14ac:dyDescent="0.25">
      <c r="B90" s="24"/>
    </row>
    <row r="91" spans="1:32" x14ac:dyDescent="0.25">
      <c r="A91" s="47"/>
      <c r="B91" s="48"/>
      <c r="C91" s="47"/>
      <c r="D91" s="48"/>
      <c r="E91" s="47"/>
      <c r="F91" s="48"/>
      <c r="G91" s="47"/>
      <c r="H91" s="48"/>
      <c r="I91" s="47"/>
      <c r="J91" s="48"/>
      <c r="K91" s="47"/>
      <c r="L91" s="48"/>
      <c r="M91" s="47"/>
      <c r="N91" s="48"/>
      <c r="O91" s="47"/>
      <c r="P91" s="48"/>
      <c r="Q91" s="47"/>
      <c r="R91" s="48"/>
      <c r="S91" s="47"/>
      <c r="T91" s="48"/>
      <c r="U91" s="47"/>
      <c r="V91" s="48"/>
      <c r="W91" s="47"/>
      <c r="X91" s="48"/>
      <c r="Y91" s="47"/>
      <c r="Z91" s="48"/>
      <c r="AA91" s="47"/>
      <c r="AB91" s="48"/>
      <c r="AC91" s="47"/>
      <c r="AD91" s="48"/>
      <c r="AE91" s="47"/>
      <c r="AF91" s="48"/>
    </row>
    <row r="92" spans="1:32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</row>
    <row r="93" spans="1:32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</row>
    <row r="95" spans="1:32" x14ac:dyDescent="0.25">
      <c r="A95" s="41"/>
    </row>
    <row r="96" spans="1:32" x14ac:dyDescent="0.25">
      <c r="A96" s="44"/>
      <c r="B96" s="44"/>
      <c r="C96" s="45"/>
      <c r="D96" s="44"/>
      <c r="E96" s="44"/>
      <c r="F96" s="44"/>
      <c r="G96" s="44"/>
      <c r="H96" s="46"/>
      <c r="I96" s="44"/>
      <c r="J96" s="44"/>
    </row>
    <row r="97" spans="1:10" x14ac:dyDescent="0.25">
      <c r="A97" s="44"/>
      <c r="B97" s="44"/>
      <c r="C97" s="45"/>
      <c r="D97" s="44"/>
      <c r="E97" s="44"/>
      <c r="F97" s="44"/>
      <c r="G97" s="44"/>
      <c r="H97" s="46"/>
      <c r="I97" s="44"/>
      <c r="J97" s="44"/>
    </row>
    <row r="98" spans="1:10" ht="17.25" x14ac:dyDescent="0.4">
      <c r="A98" s="44"/>
      <c r="B98" s="47"/>
      <c r="C98" s="48"/>
      <c r="D98" s="47"/>
      <c r="E98" s="44"/>
      <c r="F98" s="44"/>
      <c r="G98" s="44"/>
      <c r="H98" s="46"/>
      <c r="I98" s="69"/>
      <c r="J98" s="69"/>
    </row>
    <row r="99" spans="1:10" x14ac:dyDescent="0.25">
      <c r="A99" s="44"/>
      <c r="B99" s="70"/>
      <c r="C99" s="70"/>
      <c r="D99" s="70"/>
      <c r="E99" s="44"/>
      <c r="F99" s="44"/>
      <c r="G99" s="44"/>
      <c r="H99" s="46"/>
      <c r="I99" s="44"/>
      <c r="J99" s="44"/>
    </row>
    <row r="100" spans="1:10" x14ac:dyDescent="0.25">
      <c r="A100" s="47"/>
      <c r="B100" s="48"/>
      <c r="C100" s="47"/>
      <c r="D100" s="44"/>
      <c r="E100" s="44"/>
      <c r="F100" s="44"/>
      <c r="G100" s="44"/>
      <c r="H100" s="46"/>
      <c r="I100" s="44"/>
      <c r="J100" s="44"/>
    </row>
  </sheetData>
  <mergeCells count="7">
    <mergeCell ref="I98:J98"/>
    <mergeCell ref="B99:D99"/>
    <mergeCell ref="A5:O5"/>
    <mergeCell ref="A1:O1"/>
    <mergeCell ref="A2:O2"/>
    <mergeCell ref="A3:O3"/>
    <mergeCell ref="A4:O4"/>
  </mergeCells>
  <pageMargins left="0.74803149606299213" right="0" top="0.15748031496062992" bottom="0.19685039370078741" header="0.31496062992125984" footer="0.31496062992125984"/>
  <pageSetup paperSize="9" scale="65" orientation="landscape" r:id="rId1"/>
  <ignoredErrors>
    <ignoredError sqref="F42" formula="1"/>
    <ignoredError sqref="D60:D70 C68 E60:G60 E68:G68 D75 C7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2"/>
  <sheetViews>
    <sheetView workbookViewId="0">
      <selection activeCell="E15" sqref="E15"/>
    </sheetView>
  </sheetViews>
  <sheetFormatPr baseColWidth="10" defaultRowHeight="15" x14ac:dyDescent="0.25"/>
  <cols>
    <col min="2" max="2" width="4.5703125" bestFit="1" customWidth="1"/>
    <col min="3" max="3" width="13.85546875" customWidth="1"/>
    <col min="4" max="4" width="21.28515625" customWidth="1"/>
    <col min="5" max="5" width="17.140625" bestFit="1" customWidth="1"/>
    <col min="6" max="6" width="13.7109375" bestFit="1" customWidth="1"/>
    <col min="7" max="7" width="12.7109375" bestFit="1" customWidth="1"/>
    <col min="9" max="9" width="16" customWidth="1"/>
    <col min="10" max="10" width="15.42578125" customWidth="1"/>
    <col min="11" max="11" width="15" style="30" customWidth="1"/>
    <col min="13" max="13" width="13.42578125" customWidth="1"/>
  </cols>
  <sheetData>
    <row r="3" spans="2:13" x14ac:dyDescent="0.25">
      <c r="B3" s="15">
        <f>+'Plantilla Ejecución '!J7</f>
        <v>0</v>
      </c>
      <c r="E3" t="s">
        <v>95</v>
      </c>
    </row>
    <row r="4" spans="2:13" x14ac:dyDescent="0.25">
      <c r="B4" s="15">
        <v>0</v>
      </c>
      <c r="C4" s="15"/>
      <c r="E4" s="62">
        <f>+'Plantilla Ejecución '!I7</f>
        <v>151235259</v>
      </c>
      <c r="F4" s="38"/>
      <c r="G4" s="38"/>
      <c r="J4" s="42"/>
    </row>
    <row r="5" spans="2:13" ht="15.75" x14ac:dyDescent="0.25">
      <c r="B5" s="15"/>
      <c r="C5" t="s">
        <v>92</v>
      </c>
      <c r="E5" s="39">
        <v>82790181</v>
      </c>
      <c r="F5" s="38"/>
      <c r="G5" s="38"/>
      <c r="I5" s="49"/>
      <c r="J5" s="49"/>
      <c r="K5" s="50"/>
      <c r="M5" s="14"/>
    </row>
    <row r="6" spans="2:13" ht="15.75" x14ac:dyDescent="0.25">
      <c r="B6" s="15">
        <f>+B4+B5</f>
        <v>0</v>
      </c>
      <c r="C6" t="s">
        <v>93</v>
      </c>
      <c r="E6" s="39">
        <v>151235259</v>
      </c>
      <c r="F6" s="38"/>
      <c r="G6" s="38"/>
      <c r="J6" s="49"/>
      <c r="K6" s="50"/>
      <c r="M6" s="14"/>
    </row>
    <row r="7" spans="2:13" x14ac:dyDescent="0.25">
      <c r="B7" s="15"/>
      <c r="E7" s="38"/>
      <c r="F7" s="38"/>
      <c r="G7" s="38"/>
      <c r="J7" s="49"/>
      <c r="K7" s="50"/>
      <c r="M7" s="14"/>
    </row>
    <row r="8" spans="2:13" x14ac:dyDescent="0.25">
      <c r="E8" s="38">
        <f>+E5+E6</f>
        <v>234025440</v>
      </c>
      <c r="F8" s="38"/>
      <c r="G8" s="38"/>
      <c r="J8" s="49"/>
      <c r="K8" s="50"/>
      <c r="M8" s="14"/>
    </row>
    <row r="9" spans="2:13" x14ac:dyDescent="0.25">
      <c r="E9" s="38"/>
      <c r="F9" s="38"/>
      <c r="G9" s="38"/>
      <c r="J9" s="49"/>
      <c r="K9" s="50"/>
      <c r="M9" s="14"/>
    </row>
    <row r="10" spans="2:13" x14ac:dyDescent="0.25">
      <c r="B10" s="15">
        <f>+B3+B5</f>
        <v>0</v>
      </c>
      <c r="E10" s="38">
        <f>+E8-E4</f>
        <v>82790181</v>
      </c>
      <c r="F10" s="38"/>
      <c r="G10" s="38"/>
      <c r="J10" s="14"/>
      <c r="K10" s="50"/>
    </row>
    <row r="11" spans="2:13" x14ac:dyDescent="0.25">
      <c r="B11" s="15">
        <f>+B6-B10</f>
        <v>0</v>
      </c>
      <c r="E11" s="38"/>
      <c r="F11" s="38"/>
      <c r="G11" s="38"/>
      <c r="J11" s="49"/>
    </row>
    <row r="12" spans="2:13" x14ac:dyDescent="0.25">
      <c r="B12" s="15"/>
      <c r="D12" t="s">
        <v>102</v>
      </c>
      <c r="E12" s="38"/>
      <c r="F12" s="38"/>
      <c r="G12" s="38"/>
      <c r="J12" s="49"/>
      <c r="K12" s="50"/>
    </row>
    <row r="13" spans="2:13" x14ac:dyDescent="0.25">
      <c r="B13" s="15"/>
      <c r="D13" t="s">
        <v>103</v>
      </c>
      <c r="E13" s="38">
        <v>82790181</v>
      </c>
      <c r="F13" s="38"/>
      <c r="G13" s="38"/>
      <c r="J13" s="49"/>
      <c r="K13" s="50"/>
    </row>
    <row r="14" spans="2:13" x14ac:dyDescent="0.25">
      <c r="D14" t="s">
        <v>98</v>
      </c>
      <c r="E14" s="38">
        <v>9029212</v>
      </c>
      <c r="F14" s="38"/>
      <c r="G14" s="38"/>
      <c r="J14" s="49"/>
      <c r="K14" s="50"/>
    </row>
    <row r="15" spans="2:13" x14ac:dyDescent="0.25">
      <c r="E15" s="38"/>
      <c r="F15" s="38"/>
      <c r="G15" s="38"/>
      <c r="J15" s="49"/>
      <c r="K15" s="50"/>
    </row>
    <row r="16" spans="2:13" x14ac:dyDescent="0.25">
      <c r="B16" s="18"/>
      <c r="D16" t="s">
        <v>94</v>
      </c>
      <c r="E16" s="38">
        <f>+E4+E14</f>
        <v>160264471</v>
      </c>
      <c r="F16" s="38"/>
      <c r="G16" s="38"/>
      <c r="J16" s="49"/>
      <c r="K16" s="50"/>
    </row>
    <row r="17" spans="2:11" x14ac:dyDescent="0.25">
      <c r="B17" s="18"/>
      <c r="E17" s="38">
        <f>+'Plantilla Ejecución '!D87</f>
        <v>0</v>
      </c>
      <c r="F17" s="38"/>
      <c r="G17" s="38"/>
      <c r="J17" s="49"/>
      <c r="K17" s="50"/>
    </row>
    <row r="18" spans="2:11" x14ac:dyDescent="0.25">
      <c r="E18" s="38">
        <f>+E17-E16</f>
        <v>-160264471</v>
      </c>
      <c r="F18" s="38"/>
      <c r="G18" s="38"/>
      <c r="J18" s="49"/>
      <c r="K18" s="50"/>
    </row>
    <row r="19" spans="2:11" x14ac:dyDescent="0.25">
      <c r="B19" s="18"/>
      <c r="E19">
        <f>+G20</f>
        <v>0</v>
      </c>
      <c r="J19" s="49"/>
      <c r="K19" s="50"/>
    </row>
    <row r="20" spans="2:11" x14ac:dyDescent="0.25">
      <c r="B20" s="18"/>
      <c r="E20" s="38"/>
      <c r="K20" s="50"/>
    </row>
    <row r="21" spans="2:11" x14ac:dyDescent="0.25">
      <c r="J21" s="49"/>
      <c r="K21" s="13"/>
    </row>
    <row r="22" spans="2:11" x14ac:dyDescent="0.25">
      <c r="J22" s="49"/>
    </row>
    <row r="23" spans="2:11" x14ac:dyDescent="0.25">
      <c r="J23" s="49"/>
      <c r="K23" s="50"/>
    </row>
    <row r="24" spans="2:11" x14ac:dyDescent="0.25">
      <c r="J24" s="49"/>
    </row>
    <row r="25" spans="2:11" x14ac:dyDescent="0.25">
      <c r="J25" s="49"/>
    </row>
    <row r="26" spans="2:11" x14ac:dyDescent="0.25">
      <c r="J26" s="49"/>
      <c r="K26" s="50"/>
    </row>
    <row r="27" spans="2:11" x14ac:dyDescent="0.25">
      <c r="J27" s="49"/>
    </row>
    <row r="28" spans="2:11" x14ac:dyDescent="0.25">
      <c r="J28" s="49"/>
    </row>
    <row r="29" spans="2:11" x14ac:dyDescent="0.25">
      <c r="J29" s="49"/>
    </row>
    <row r="30" spans="2:11" x14ac:dyDescent="0.25">
      <c r="J30" s="49"/>
    </row>
    <row r="31" spans="2:11" x14ac:dyDescent="0.25">
      <c r="J31" s="49"/>
    </row>
    <row r="33" spans="10:10" x14ac:dyDescent="0.25">
      <c r="J33" s="49"/>
    </row>
    <row r="34" spans="10:10" x14ac:dyDescent="0.25">
      <c r="J34" s="49"/>
    </row>
    <row r="35" spans="10:10" x14ac:dyDescent="0.25">
      <c r="J35" s="49"/>
    </row>
    <row r="36" spans="10:10" x14ac:dyDescent="0.25">
      <c r="J36" s="49"/>
    </row>
    <row r="37" spans="10:10" x14ac:dyDescent="0.25">
      <c r="J37" s="49"/>
    </row>
    <row r="38" spans="10:10" x14ac:dyDescent="0.25">
      <c r="J38" s="49"/>
    </row>
    <row r="39" spans="10:10" x14ac:dyDescent="0.25">
      <c r="J39" s="49"/>
    </row>
    <row r="40" spans="10:10" x14ac:dyDescent="0.25">
      <c r="J40" s="49"/>
    </row>
    <row r="41" spans="10:10" x14ac:dyDescent="0.25">
      <c r="J41" s="49"/>
    </row>
    <row r="43" spans="10:10" x14ac:dyDescent="0.25">
      <c r="J43" s="49"/>
    </row>
    <row r="44" spans="10:10" x14ac:dyDescent="0.25">
      <c r="J44" s="49"/>
    </row>
    <row r="45" spans="10:10" x14ac:dyDescent="0.25">
      <c r="J45" s="49"/>
    </row>
    <row r="46" spans="10:10" x14ac:dyDescent="0.25">
      <c r="J46" s="49"/>
    </row>
    <row r="47" spans="10:10" x14ac:dyDescent="0.25">
      <c r="J47" s="49"/>
    </row>
    <row r="48" spans="10:10" x14ac:dyDescent="0.25">
      <c r="J48" s="49"/>
    </row>
    <row r="49" spans="10:11" x14ac:dyDescent="0.25">
      <c r="J49" s="49"/>
    </row>
    <row r="50" spans="10:11" x14ac:dyDescent="0.25">
      <c r="J50" s="49"/>
      <c r="K50" s="50"/>
    </row>
    <row r="51" spans="10:11" x14ac:dyDescent="0.25">
      <c r="J51" s="49"/>
    </row>
    <row r="52" spans="10:11" x14ac:dyDescent="0.25">
      <c r="J52" s="49"/>
    </row>
    <row r="53" spans="10:11" x14ac:dyDescent="0.25">
      <c r="J53" s="49"/>
    </row>
    <row r="54" spans="10:11" x14ac:dyDescent="0.25">
      <c r="J54" s="49"/>
    </row>
    <row r="56" spans="10:11" x14ac:dyDescent="0.25">
      <c r="J56" s="49"/>
    </row>
    <row r="57" spans="10:11" x14ac:dyDescent="0.25">
      <c r="J57" s="49"/>
    </row>
    <row r="58" spans="10:11" x14ac:dyDescent="0.25">
      <c r="J58" s="49"/>
    </row>
    <row r="59" spans="10:11" x14ac:dyDescent="0.25">
      <c r="J59" s="49"/>
    </row>
    <row r="60" spans="10:11" x14ac:dyDescent="0.25">
      <c r="J60" s="49"/>
    </row>
    <row r="61" spans="10:11" x14ac:dyDescent="0.25">
      <c r="J61" s="49"/>
    </row>
    <row r="62" spans="10:11" x14ac:dyDescent="0.25">
      <c r="J62" s="49"/>
    </row>
    <row r="63" spans="10:11" x14ac:dyDescent="0.25">
      <c r="J63" s="49"/>
    </row>
    <row r="64" spans="10:11" x14ac:dyDescent="0.25">
      <c r="J64" s="49"/>
    </row>
    <row r="66" spans="10:10" x14ac:dyDescent="0.25">
      <c r="J66" s="49"/>
    </row>
    <row r="67" spans="10:10" x14ac:dyDescent="0.25">
      <c r="J67" s="49"/>
    </row>
    <row r="68" spans="10:10" x14ac:dyDescent="0.25">
      <c r="J68" s="49"/>
    </row>
    <row r="69" spans="10:10" x14ac:dyDescent="0.25">
      <c r="J69" s="49"/>
    </row>
    <row r="70" spans="10:10" x14ac:dyDescent="0.25">
      <c r="J70" s="49"/>
    </row>
    <row r="71" spans="10:10" x14ac:dyDescent="0.25">
      <c r="J71" s="49"/>
    </row>
    <row r="72" spans="10:10" x14ac:dyDescent="0.25">
      <c r="J72" s="49"/>
    </row>
    <row r="73" spans="10:10" x14ac:dyDescent="0.25">
      <c r="J73" s="49"/>
    </row>
    <row r="74" spans="10:10" x14ac:dyDescent="0.25">
      <c r="J74" s="49"/>
    </row>
    <row r="75" spans="10:10" x14ac:dyDescent="0.25">
      <c r="J75" s="49"/>
    </row>
    <row r="76" spans="10:10" x14ac:dyDescent="0.25">
      <c r="J76" s="49"/>
    </row>
    <row r="78" spans="10:10" x14ac:dyDescent="0.25">
      <c r="J78" s="49"/>
    </row>
    <row r="79" spans="10:10" x14ac:dyDescent="0.25">
      <c r="J79" s="49"/>
    </row>
    <row r="80" spans="10:10" x14ac:dyDescent="0.25">
      <c r="J80" s="49"/>
    </row>
    <row r="81" spans="10:10" x14ac:dyDescent="0.25">
      <c r="J81" s="49"/>
    </row>
    <row r="82" spans="10:10" x14ac:dyDescent="0.25">
      <c r="J82" s="49"/>
    </row>
    <row r="83" spans="10:10" x14ac:dyDescent="0.25">
      <c r="J83" s="49"/>
    </row>
    <row r="84" spans="10:10" x14ac:dyDescent="0.25">
      <c r="J84" s="49"/>
    </row>
    <row r="85" spans="10:10" x14ac:dyDescent="0.25">
      <c r="J85" s="49"/>
    </row>
    <row r="86" spans="10:10" x14ac:dyDescent="0.25">
      <c r="J86" s="49"/>
    </row>
    <row r="87" spans="10:10" x14ac:dyDescent="0.25">
      <c r="J87" s="49"/>
    </row>
    <row r="89" spans="10:10" x14ac:dyDescent="0.25">
      <c r="J89" s="49"/>
    </row>
    <row r="90" spans="10:10" x14ac:dyDescent="0.25">
      <c r="J90" s="49"/>
    </row>
    <row r="92" spans="10:10" x14ac:dyDescent="0.25">
      <c r="J92" s="4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Elvidami</cp:lastModifiedBy>
  <cp:lastPrinted>2021-08-12T15:18:43Z</cp:lastPrinted>
  <dcterms:created xsi:type="dcterms:W3CDTF">2018-04-17T18:57:16Z</dcterms:created>
  <dcterms:modified xsi:type="dcterms:W3CDTF">2021-12-09T17:31:07Z</dcterms:modified>
</cp:coreProperties>
</file>